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D47C131-385F-EF40-9586-FD4499C0575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T3" i="1"/>
  <c r="BT4" i="1"/>
  <c r="BT5" i="1"/>
  <c r="BT6" i="1"/>
  <c r="BT7" i="1"/>
  <c r="BF8" i="1"/>
  <c r="BT8" i="1"/>
  <c r="BF9" i="1"/>
  <c r="BT9" i="1"/>
  <c r="BT10"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T39" i="1"/>
  <c r="BF40" i="1"/>
  <c r="BT40" i="1"/>
  <c r="BT41" i="1"/>
  <c r="BT42" i="1"/>
  <c r="BT43" i="1"/>
  <c r="BT44" i="1"/>
  <c r="BT45" i="1"/>
  <c r="BF46" i="1"/>
  <c r="BT46" i="1"/>
  <c r="BF47" i="1"/>
  <c r="BT47" i="1"/>
  <c r="BF48" i="1"/>
  <c r="BT48" i="1"/>
  <c r="BF49" i="1"/>
  <c r="BT49" i="1"/>
  <c r="BF50" i="1"/>
  <c r="BT50" i="1"/>
  <c r="BF51" i="1"/>
  <c r="BT51" i="1"/>
  <c r="BF52" i="1"/>
  <c r="BT52" i="1"/>
  <c r="BF53" i="1"/>
  <c r="BT53" i="1"/>
  <c r="BF54" i="1"/>
  <c r="BT54" i="1"/>
  <c r="BT55" i="1"/>
  <c r="BT56" i="1"/>
  <c r="BF57" i="1"/>
  <c r="BT57" i="1"/>
  <c r="BT58" i="1"/>
  <c r="BT59" i="1"/>
  <c r="BT60" i="1"/>
  <c r="BF61" i="1"/>
  <c r="BT61" i="1"/>
  <c r="BF62" i="1"/>
  <c r="BT62" i="1"/>
  <c r="BF63" i="1"/>
  <c r="BT63" i="1"/>
  <c r="BF64" i="1"/>
  <c r="BT64" i="1"/>
  <c r="BF65" i="1"/>
  <c r="BT65" i="1"/>
  <c r="BT66" i="1"/>
  <c r="BT67" i="1"/>
  <c r="BF68" i="1"/>
  <c r="BT68" i="1"/>
  <c r="BF69" i="1"/>
  <c r="BT69" i="1"/>
  <c r="BF70" i="1"/>
  <c r="BT70" i="1"/>
  <c r="BF71" i="1"/>
  <c r="BT71" i="1"/>
  <c r="BF72" i="1"/>
  <c r="BT72" i="1"/>
  <c r="BF73" i="1"/>
  <c r="BT73"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T89" i="1"/>
  <c r="BT90" i="1"/>
  <c r="BF91" i="1"/>
  <c r="BT91" i="1"/>
  <c r="BT92" i="1"/>
  <c r="BT93" i="1"/>
  <c r="BT94" i="1"/>
  <c r="BT95" i="1"/>
  <c r="BT96" i="1"/>
  <c r="BT97" i="1"/>
  <c r="BT98" i="1"/>
  <c r="BT99" i="1"/>
  <c r="BT100" i="1"/>
  <c r="BT101" i="1"/>
  <c r="BT102"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T117" i="1"/>
  <c r="BT118" i="1"/>
  <c r="BF119" i="1"/>
  <c r="BT119"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T154" i="1"/>
  <c r="BF155" i="1"/>
  <c r="BT155" i="1"/>
  <c r="BT156" i="1"/>
  <c r="BF157" i="1"/>
  <c r="BT157" i="1"/>
  <c r="BF158" i="1"/>
  <c r="BT158" i="1"/>
  <c r="BF159" i="1"/>
  <c r="BT159" i="1"/>
  <c r="BF160" i="1"/>
  <c r="BT160" i="1"/>
  <c r="BF161" i="1"/>
  <c r="BT161" i="1"/>
  <c r="BF162" i="1"/>
  <c r="BT162" i="1"/>
  <c r="BF163" i="1"/>
  <c r="BT163" i="1"/>
  <c r="BF164" i="1"/>
  <c r="BT164" i="1"/>
  <c r="BF165" i="1"/>
  <c r="BT165"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T197"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T244" i="1"/>
  <c r="BF245" i="1"/>
  <c r="BT245" i="1"/>
  <c r="BF246" i="1"/>
  <c r="BT246" i="1"/>
  <c r="BF247" i="1"/>
  <c r="BT247" i="1"/>
  <c r="BT248" i="1"/>
  <c r="BF249" i="1"/>
  <c r="BT249" i="1"/>
  <c r="BF250" i="1"/>
  <c r="BT250" i="1"/>
  <c r="BF251" i="1"/>
  <c r="BT251" i="1"/>
  <c r="BF252" i="1"/>
  <c r="BT252" i="1"/>
  <c r="BF253" i="1"/>
  <c r="BT253" i="1"/>
  <c r="BF254" i="1"/>
  <c r="BT254" i="1"/>
  <c r="BF255" i="1"/>
  <c r="BT255" i="1"/>
  <c r="BT256" i="1"/>
  <c r="BF257" i="1"/>
  <c r="BT257" i="1"/>
  <c r="BF258" i="1"/>
  <c r="BT258" i="1"/>
  <c r="BT259" i="1"/>
  <c r="BT260" i="1"/>
  <c r="BT261" i="1"/>
  <c r="BF262" i="1"/>
  <c r="BT262" i="1"/>
  <c r="BF263" i="1"/>
  <c r="BT263" i="1"/>
  <c r="BF264" i="1"/>
  <c r="BT264" i="1"/>
  <c r="BT265" i="1"/>
  <c r="BT266" i="1"/>
  <c r="BT267" i="1"/>
  <c r="BF268" i="1"/>
  <c r="BT268" i="1"/>
  <c r="BF269" i="1"/>
  <c r="BT269" i="1"/>
  <c r="BF270" i="1"/>
  <c r="BT270" i="1"/>
  <c r="BF271" i="1"/>
  <c r="BT271" i="1"/>
  <c r="BT272" i="1"/>
  <c r="BT273" i="1"/>
  <c r="BF274" i="1"/>
  <c r="BT274" i="1"/>
  <c r="BF275" i="1"/>
  <c r="BT275" i="1"/>
  <c r="BF276" i="1"/>
  <c r="BT276" i="1"/>
  <c r="BF277" i="1"/>
  <c r="BT277" i="1"/>
  <c r="BF278" i="1"/>
  <c r="BT278" i="1"/>
  <c r="BF279" i="1"/>
  <c r="BT279" i="1"/>
  <c r="BF280" i="1"/>
  <c r="BT280" i="1"/>
  <c r="BT281" i="1"/>
  <c r="BT282" i="1"/>
  <c r="BT283" i="1"/>
  <c r="BT284" i="1"/>
  <c r="BT285" i="1"/>
  <c r="BF286" i="1"/>
  <c r="BT286" i="1"/>
  <c r="BF287" i="1"/>
  <c r="BT287" i="1"/>
  <c r="BT288" i="1"/>
  <c r="BF289" i="1"/>
  <c r="BT289" i="1"/>
  <c r="BF290" i="1"/>
  <c r="BT290" i="1"/>
  <c r="BF291" i="1"/>
  <c r="BT291" i="1"/>
  <c r="BT292" i="1"/>
  <c r="BF293" i="1"/>
  <c r="BT293" i="1"/>
  <c r="BF294" i="1"/>
  <c r="BT294" i="1"/>
  <c r="BT295" i="1"/>
  <c r="BT296" i="1"/>
  <c r="BT297" i="1"/>
  <c r="BT298" i="1"/>
  <c r="BT299" i="1"/>
  <c r="BF300" i="1"/>
  <c r="BT300" i="1"/>
  <c r="BT301" i="1"/>
  <c r="BT302" i="1"/>
  <c r="BF303" i="1"/>
  <c r="BT303" i="1"/>
  <c r="BF304" i="1"/>
  <c r="BT304" i="1"/>
  <c r="BF305" i="1"/>
  <c r="BT305" i="1"/>
  <c r="BF306" i="1"/>
  <c r="BT306" i="1"/>
  <c r="BT307" i="1"/>
  <c r="BT308" i="1"/>
  <c r="BT309" i="1"/>
  <c r="BT310" i="1"/>
  <c r="BT311" i="1"/>
  <c r="BF312" i="1"/>
  <c r="BT312" i="1"/>
  <c r="BF313" i="1"/>
  <c r="BT313" i="1"/>
  <c r="BF314" i="1"/>
  <c r="BT314" i="1"/>
  <c r="BF315" i="1"/>
  <c r="BT315" i="1"/>
  <c r="BT316" i="1"/>
  <c r="BT317" i="1"/>
  <c r="BF318" i="1"/>
  <c r="BT318" i="1"/>
  <c r="BF319" i="1"/>
  <c r="BT319" i="1"/>
  <c r="BF320" i="1"/>
  <c r="BT320" i="1"/>
  <c r="BT321" i="1"/>
  <c r="BT322"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T335" i="1"/>
  <c r="BT336" i="1"/>
  <c r="BF337" i="1"/>
  <c r="BT337" i="1"/>
  <c r="BF338" i="1"/>
  <c r="BT338"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F377" i="1"/>
  <c r="BT377" i="1"/>
  <c r="BF378" i="1"/>
  <c r="BT378" i="1"/>
  <c r="BT379" i="1"/>
  <c r="BF380" i="1"/>
  <c r="BT380" i="1"/>
  <c r="BF381" i="1"/>
  <c r="BT381" i="1"/>
  <c r="BF382" i="1"/>
  <c r="BT382" i="1"/>
  <c r="BF383" i="1"/>
  <c r="BT383" i="1"/>
  <c r="BT384" i="1"/>
  <c r="BF385" i="1"/>
  <c r="BT385" i="1"/>
  <c r="BF386" i="1"/>
  <c r="BT386" i="1"/>
  <c r="BF387" i="1"/>
  <c r="BT387" i="1"/>
  <c r="BF388" i="1"/>
  <c r="BT388" i="1"/>
  <c r="BF389" i="1"/>
  <c r="BT389" i="1"/>
  <c r="BF390" i="1"/>
  <c r="BT390" i="1"/>
  <c r="BT391" i="1"/>
  <c r="BF392" i="1"/>
  <c r="BT392" i="1"/>
  <c r="BF393" i="1"/>
  <c r="BT393" i="1"/>
  <c r="BF394" i="1"/>
  <c r="BT394" i="1"/>
  <c r="BF395" i="1"/>
  <c r="BT395" i="1"/>
  <c r="BF396" i="1"/>
  <c r="BT396" i="1"/>
  <c r="BT397" i="1"/>
  <c r="BF398" i="1"/>
  <c r="BT398" i="1"/>
  <c r="BF399" i="1"/>
  <c r="BT399" i="1"/>
  <c r="BT400" i="1"/>
  <c r="BF401" i="1"/>
  <c r="BT401" i="1"/>
  <c r="BF402" i="1"/>
  <c r="BT402"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T440" i="1"/>
  <c r="BF441" i="1"/>
  <c r="BT441" i="1"/>
  <c r="BF442" i="1"/>
  <c r="BT442"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T479" i="1"/>
  <c r="BF480" i="1"/>
  <c r="BT480" i="1"/>
  <c r="BF481" i="1"/>
  <c r="BT481" i="1"/>
  <c r="BF482" i="1"/>
  <c r="BT482" i="1"/>
  <c r="BT483" i="1"/>
  <c r="BT484" i="1"/>
  <c r="BT485" i="1"/>
  <c r="BF486" i="1"/>
  <c r="BT486" i="1"/>
  <c r="BF487" i="1"/>
  <c r="BT487" i="1"/>
  <c r="BF488" i="1"/>
  <c r="BT488" i="1"/>
  <c r="BF489" i="1"/>
  <c r="BT489" i="1"/>
  <c r="BF490" i="1"/>
  <c r="BT490" i="1"/>
  <c r="BF491" i="1"/>
  <c r="BT491"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T515" i="1"/>
  <c r="BF516" i="1"/>
  <c r="BT516" i="1"/>
  <c r="BF517" i="1"/>
  <c r="BT517" i="1"/>
  <c r="BF518" i="1"/>
  <c r="BT518" i="1"/>
  <c r="BF519" i="1"/>
  <c r="BT519" i="1"/>
  <c r="BF520" i="1"/>
  <c r="BT520" i="1"/>
  <c r="BF521" i="1"/>
  <c r="BT521" i="1"/>
  <c r="BF522" i="1"/>
  <c r="BT522" i="1"/>
  <c r="BF523" i="1"/>
  <c r="BT523"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T537" i="1"/>
  <c r="BF538" i="1"/>
  <c r="BT538" i="1"/>
  <c r="BF539" i="1"/>
  <c r="BT539" i="1"/>
  <c r="BF540" i="1"/>
  <c r="BT540" i="1"/>
  <c r="BF541" i="1"/>
  <c r="BT541" i="1"/>
  <c r="BF542" i="1"/>
  <c r="BT542" i="1"/>
  <c r="BF543" i="1"/>
  <c r="BT543" i="1"/>
  <c r="BT544" i="1"/>
  <c r="BF545" i="1"/>
  <c r="BT545" i="1"/>
  <c r="BF546" i="1"/>
  <c r="BT546" i="1"/>
  <c r="BF547" i="1"/>
  <c r="BT547" i="1"/>
  <c r="BF548" i="1"/>
  <c r="BT548" i="1"/>
  <c r="BF549" i="1"/>
  <c r="BT549" i="1"/>
  <c r="BF550" i="1"/>
  <c r="BT550" i="1"/>
  <c r="BF551" i="1"/>
  <c r="BT551" i="1"/>
  <c r="BF552" i="1"/>
  <c r="BT552" i="1"/>
  <c r="BF553" i="1"/>
  <c r="BT553" i="1"/>
  <c r="BF554" i="1"/>
  <c r="BT554"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T573" i="1"/>
  <c r="BF574" i="1"/>
  <c r="BT574"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T611" i="1"/>
  <c r="BF612" i="1"/>
  <c r="BT612" i="1"/>
  <c r="BF613" i="1"/>
  <c r="BT613" i="1"/>
  <c r="BF614" i="1"/>
  <c r="BT614" i="1"/>
  <c r="BT615" i="1"/>
  <c r="BF616" i="1"/>
  <c r="BT616" i="1"/>
  <c r="BT617" i="1"/>
  <c r="BF618" i="1"/>
  <c r="BT618" i="1"/>
  <c r="BF619" i="1"/>
  <c r="BT619" i="1"/>
  <c r="BT620" i="1"/>
  <c r="BT621" i="1"/>
  <c r="BT622" i="1"/>
  <c r="BT623" i="1"/>
  <c r="BF624" i="1"/>
  <c r="BT624" i="1"/>
  <c r="BF625" i="1"/>
  <c r="BT625"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T640" i="1"/>
  <c r="BT641" i="1"/>
  <c r="BT642" i="1"/>
  <c r="BT643" i="1"/>
  <c r="BF644" i="1"/>
  <c r="BT644" i="1"/>
  <c r="BT645" i="1"/>
  <c r="BF646" i="1"/>
  <c r="BT646" i="1"/>
  <c r="BF647" i="1"/>
  <c r="BT647" i="1"/>
  <c r="BF648" i="1"/>
  <c r="BT648" i="1"/>
  <c r="BF649" i="1"/>
  <c r="BT649" i="1"/>
  <c r="BF650" i="1"/>
  <c r="BT650"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T663"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T676" i="1"/>
  <c r="BF677" i="1"/>
  <c r="BT677" i="1"/>
  <c r="BF678" i="1"/>
  <c r="BT678" i="1"/>
  <c r="BF679" i="1"/>
  <c r="BT679" i="1"/>
  <c r="BF680" i="1"/>
  <c r="BT680" i="1"/>
  <c r="BF681" i="1"/>
  <c r="BT681" i="1"/>
  <c r="BT682" i="1"/>
  <c r="BT683" i="1"/>
  <c r="BF684" i="1"/>
  <c r="BT684" i="1"/>
  <c r="BT685" i="1"/>
  <c r="BT686" i="1"/>
  <c r="BT687" i="1"/>
  <c r="BT688" i="1"/>
  <c r="BT689" i="1"/>
  <c r="BT690" i="1"/>
  <c r="BT691" i="1"/>
  <c r="BT692" i="1"/>
  <c r="BF693" i="1"/>
  <c r="BT693" i="1"/>
  <c r="BF694" i="1"/>
  <c r="BT694"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T712" i="1"/>
  <c r="BF713" i="1"/>
  <c r="BT713" i="1"/>
  <c r="BF714" i="1"/>
  <c r="BT714" i="1"/>
  <c r="BF715" i="1"/>
  <c r="BT715" i="1"/>
  <c r="BF716" i="1"/>
  <c r="BT716" i="1"/>
  <c r="BF717" i="1"/>
  <c r="BT717" i="1"/>
  <c r="BF718" i="1"/>
  <c r="BT718" i="1"/>
  <c r="BF719" i="1"/>
  <c r="BT719" i="1"/>
  <c r="BF720" i="1"/>
  <c r="BT720" i="1"/>
  <c r="BF721" i="1"/>
  <c r="BT721" i="1"/>
  <c r="BF722" i="1"/>
  <c r="BT722"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T740" i="1"/>
  <c r="BF741" i="1"/>
  <c r="BT741" i="1"/>
  <c r="BF742" i="1"/>
  <c r="BT742" i="1"/>
  <c r="BF743" i="1"/>
  <c r="BT743"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T771" i="1"/>
  <c r="BF772" i="1"/>
  <c r="BT772" i="1"/>
  <c r="BF773" i="1"/>
  <c r="BT773" i="1"/>
  <c r="BF774" i="1"/>
  <c r="BT774" i="1"/>
  <c r="BF775" i="1"/>
  <c r="BT775" i="1"/>
  <c r="BF776" i="1"/>
  <c r="BT776" i="1"/>
  <c r="BT777"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T791"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T810" i="1"/>
  <c r="BT811" i="1"/>
  <c r="BF812" i="1"/>
  <c r="BT812" i="1"/>
  <c r="BF813" i="1"/>
  <c r="BT813" i="1"/>
  <c r="BT814" i="1"/>
  <c r="BF815" i="1"/>
  <c r="BT815" i="1"/>
  <c r="BF816" i="1"/>
  <c r="BT816" i="1"/>
  <c r="BF817" i="1"/>
  <c r="BT817" i="1"/>
  <c r="BF818" i="1"/>
  <c r="BT818" i="1"/>
  <c r="BF819" i="1"/>
  <c r="BT819" i="1"/>
  <c r="BF820" i="1"/>
  <c r="BT820" i="1"/>
  <c r="BF821" i="1"/>
  <c r="BT821" i="1"/>
  <c r="BF822" i="1"/>
  <c r="BT822" i="1"/>
  <c r="BT823" i="1"/>
  <c r="BF824" i="1"/>
  <c r="BT824" i="1"/>
  <c r="BF825" i="1"/>
  <c r="BT825" i="1"/>
  <c r="BF826" i="1"/>
  <c r="BT826" i="1"/>
  <c r="BF827" i="1"/>
  <c r="BT827" i="1"/>
  <c r="BF828" i="1"/>
  <c r="BT828" i="1"/>
  <c r="BF829" i="1"/>
  <c r="BT829" i="1"/>
  <c r="BF830" i="1"/>
  <c r="BT830" i="1"/>
  <c r="BT831" i="1"/>
  <c r="BT832" i="1"/>
  <c r="BF833" i="1"/>
  <c r="BT833" i="1"/>
  <c r="BF834" i="1"/>
  <c r="BT834" i="1"/>
  <c r="BF835" i="1"/>
  <c r="BT835" i="1"/>
  <c r="BF836" i="1"/>
  <c r="BT836" i="1"/>
  <c r="BF837" i="1"/>
  <c r="BT837" i="1"/>
  <c r="BF838" i="1"/>
  <c r="BT838" i="1"/>
  <c r="BF839" i="1"/>
  <c r="BT839" i="1"/>
  <c r="BF840" i="1"/>
  <c r="BT840" i="1"/>
  <c r="BT841" i="1"/>
  <c r="BT842" i="1"/>
  <c r="BF843" i="1"/>
  <c r="BT843" i="1"/>
  <c r="BF844" i="1"/>
  <c r="BT844" i="1"/>
  <c r="BF845" i="1"/>
  <c r="BT845" i="1"/>
  <c r="BF846" i="1"/>
  <c r="BT846" i="1"/>
  <c r="BF847" i="1"/>
  <c r="BT847" i="1"/>
  <c r="BF848" i="1"/>
  <c r="BT848" i="1"/>
  <c r="BF849" i="1"/>
  <c r="BT849" i="1"/>
  <c r="BF850" i="1"/>
  <c r="BT850" i="1"/>
  <c r="BT851" i="1"/>
  <c r="BT852" i="1"/>
  <c r="BT853" i="1"/>
  <c r="BF854" i="1"/>
  <c r="BT854" i="1"/>
  <c r="BF855" i="1"/>
  <c r="BT855" i="1"/>
  <c r="BF856" i="1"/>
  <c r="BT856" i="1"/>
  <c r="BF857" i="1"/>
  <c r="BT857" i="1"/>
  <c r="BF858" i="1"/>
  <c r="BT858" i="1"/>
  <c r="BF859" i="1"/>
  <c r="BT859" i="1"/>
  <c r="BF860" i="1"/>
  <c r="BT860" i="1"/>
  <c r="BF861" i="1"/>
  <c r="BT861" i="1"/>
  <c r="BF862" i="1"/>
  <c r="BT862" i="1"/>
  <c r="BT863"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T884"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T904" i="1"/>
  <c r="BF905" i="1"/>
  <c r="BT905" i="1"/>
  <c r="BF906" i="1"/>
  <c r="BT906" i="1"/>
  <c r="BF907" i="1"/>
  <c r="BT907" i="1"/>
  <c r="BF908" i="1"/>
  <c r="BT908" i="1"/>
  <c r="BF909" i="1"/>
  <c r="BT909" i="1"/>
  <c r="BF910" i="1"/>
  <c r="BT910" i="1"/>
  <c r="BF911" i="1"/>
  <c r="BT911" i="1"/>
  <c r="BT912" i="1"/>
  <c r="BT913" i="1"/>
  <c r="BF914" i="1"/>
  <c r="BT914" i="1"/>
  <c r="BF915" i="1"/>
  <c r="BT915" i="1"/>
  <c r="BF916" i="1"/>
  <c r="BT916" i="1"/>
  <c r="BF917" i="1"/>
  <c r="BT917" i="1"/>
  <c r="BF918" i="1"/>
  <c r="BT918" i="1"/>
  <c r="BT919" i="1"/>
  <c r="BF920" i="1"/>
  <c r="BT920" i="1"/>
  <c r="BF921" i="1"/>
  <c r="BT921" i="1"/>
  <c r="BF922" i="1"/>
  <c r="BT922" i="1"/>
  <c r="BF923" i="1"/>
  <c r="BT923" i="1"/>
  <c r="BT924" i="1"/>
  <c r="BT925" i="1"/>
  <c r="BF926" i="1"/>
  <c r="BT926" i="1"/>
  <c r="BT927" i="1"/>
  <c r="BF928" i="1"/>
  <c r="BT928" i="1"/>
  <c r="BF929" i="1"/>
  <c r="BT929" i="1"/>
  <c r="BF930" i="1"/>
  <c r="BT930" i="1"/>
  <c r="BT931" i="1"/>
  <c r="BF932" i="1"/>
  <c r="BT932" i="1"/>
  <c r="BT933" i="1"/>
  <c r="BF934" i="1"/>
  <c r="BT934" i="1"/>
  <c r="BF935" i="1"/>
  <c r="BT935" i="1"/>
  <c r="BF936" i="1"/>
  <c r="BT936" i="1"/>
  <c r="BF937" i="1"/>
  <c r="BT937" i="1"/>
  <c r="BT938" i="1"/>
  <c r="BF939" i="1"/>
  <c r="BT939" i="1"/>
  <c r="BF940" i="1"/>
  <c r="BT940" i="1"/>
  <c r="BF941" i="1"/>
  <c r="BT941" i="1"/>
  <c r="BF942" i="1"/>
  <c r="BT942" i="1"/>
  <c r="BF943" i="1"/>
  <c r="BT943" i="1"/>
  <c r="BF944" i="1"/>
  <c r="BT944" i="1"/>
  <c r="BT945" i="1"/>
  <c r="BT946" i="1"/>
  <c r="BF947" i="1"/>
  <c r="BT947" i="1"/>
  <c r="BF948" i="1"/>
  <c r="BT948" i="1"/>
  <c r="BF949" i="1"/>
  <c r="BT949"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<sst xmlns="http://schemas.openxmlformats.org/spreadsheetml/2006/main" count="59503" uniqueCount="13161">
  <si>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</si>
  <si>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</si>
  <si>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</si>
  <si>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</si>
  <si>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</si>
  <si>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</si>
  <si>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</si>
  <si>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</si>
  <si>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</si>
  <si>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</si>
  <si>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</si>
  <si>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</si>
  <si>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</si>
  <si>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</si>
  <si>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</si>
  <si>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</si>
  <si>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</si>
  <si>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</si>
  <si>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</si>
  <si>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</si>
  <si>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</si>
  <si>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</si>
  <si>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</si>
  <si>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</si>
  <si>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</si>
  <si>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</si>
  <si>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</si>
  <si>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</si>
  <si>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</si>
  <si>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</si>
  <si>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</si>
  <si>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</si>
  <si>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</si>
  <si>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</si>
  <si>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</si>
  <si>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</si>
  <si>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</si>
  <si>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</si>
  <si>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</si>
  <si>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</si>
  <si>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</si>
  <si>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</si>
  <si>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</si>
  <si>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</si>
  <si>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</si>
  <si>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</si>
  <si>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</si>
  <si>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</si>
  <si>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</si>
  <si>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</si>
  <si>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</si>
  <si>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</si>
  <si>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</si>
  <si>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</si>
  <si>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</si>
  <si>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</si>
  <si>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</si>
  <si>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</si>
  <si>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</si>
  <si>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</si>
  <si>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</si>
  <si>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</si>
  <si>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</si>
  <si>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</si>
  <si>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</si>
  <si>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</si>
  <si>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</si>
  <si>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</si>
  <si>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</si>
  <si>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</si>
  <si>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</si>
  <si>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</si>
  <si>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</si>
  <si>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Li, XQ; Qin, DH; Zhou, H</t>
  </si>
  <si>
    <t/>
  </si>
  <si>
    <t>Organic acids: Differences in ice core records between Glacier 1, Tianshan, China and the polar areas</t>
  </si>
  <si>
    <t>CHINESE SCIENCE BULLETIN</t>
  </si>
  <si>
    <t>English</t>
  </si>
  <si>
    <t>Article</t>
  </si>
  <si>
    <t>organic acid; alpine glacier; ice core; atmospheric pollution; Greenland; Antarctica; Tianshan</t>
  </si>
  <si>
    <t>GREENLAND ICE; ANTARCTIC ICE; REMOTE AREAS; ACETIC-ACIDS; FOREST-FIRES; PRECIPITATION; METHANESULFONATE; FORMATE; ACETATE; EMISSIONS</t>
  </si>
  <si>
    <t>Formate (HCOO-), acetate (CH3COO-), oxalate (C2O42- and pyruvate (CO)C2O42-) are detected in a 14.08-m-long ice core recovered in Glacier 1 at the Urumqi riverhead, Tianshan, China, which is a mid-latitude alpine glacier (43 degrees 06'N, 86 degrees 49'E). the mean concentrations for the four organic acids in recent four decades are (102.8 +/- 147.3), (392.3 +/- 390.8), (6.9 +/- 14.8) and (4.2 +/- 8.3) ng/g, respectively, with the ratio for HCOO-/CH3COO- of 0.34 +/- 0.43. They represent the major acid components, and originate mainly from anthropogenic emission in the nearby industrial cities. Compared with Greenland and Antarctica, Glacier 1 is much higher in carboxylic acids, which were not subjected to long distance transportation as well as complicated atmospheric reactions. The alpine glacier can be, therefore, useful to reconstructing human pollution scenario to the regional atmosphere.</t>
  </si>
  <si>
    <t>Chinese Acad Sci, Cold &amp; Arid Reg Environm &amp; Engn Res Inst, Lab Ice Core &amp; Cold Reg Environm, Lanzhou 730000, Peoples R China</t>
  </si>
  <si>
    <t>Chinese Academy of Sciences; Cold &amp; Arid Regions Environmental &amp; Engineering Research Institute, CAS</t>
  </si>
  <si>
    <t>Li, XQ (corresponding author), Chinese Acad Sci, Cold &amp; Arid Reg Environm &amp; Engn Res Inst, Lab Ice Core &amp; Cold Reg Environm, Lanzhou 730000, Peoples R China.</t>
  </si>
  <si>
    <t>SCIENCE PRESS</t>
  </si>
  <si>
    <t>BEIJING</t>
  </si>
  <si>
    <t>16 DONGHUANGCHENGGEN NORTH ST, BEIJING 100717, PEOPLES R CHINA</t>
  </si>
  <si>
    <t>1001-6538</t>
  </si>
  <si>
    <t>CHINESE SCI BULL</t>
  </si>
  <si>
    <t>Chin. Sci. Bull.</t>
  </si>
  <si>
    <t>JAN</t>
  </si>
  <si>
    <t>10.1007/BF03183216</t>
  </si>
  <si>
    <t>Multidisciplinary Sciences</t>
  </si>
  <si>
    <t>Science Citation Index Expanded (SCI-EXPANDED)</t>
  </si>
  <si>
    <t>Science &amp; Technology - Other Topics</t>
  </si>
  <si>
    <t>402WH</t>
  </si>
  <si>
    <t>2024-04-21</t>
  </si>
  <si>
    <t>WOS:000167010800020</t>
  </si>
  <si>
    <t>B</t>
  </si>
  <si>
    <t>Basher, R; Bates, B; Finlayson, M; Gitay, H; Woodward, A</t>
  </si>
  <si>
    <t>McCarthy, JJ; Canziani, OF; Leary, NA; Dokken, DJ; White, KS</t>
  </si>
  <si>
    <t>Basher, R.; Bates, B.; Finlayson, M.; Gitay, H.; Woodward, A.</t>
  </si>
  <si>
    <t>Australia and New Zealand</t>
  </si>
  <si>
    <t>CLIMATE CHANGE 2001: IMPACTS, ADAPTATION, AND VULNERABILITY</t>
  </si>
  <si>
    <t>Article; Book Chapter</t>
  </si>
  <si>
    <t>CLIMATE-CHANGE IMPACTS; ANTARCTIC CIRCUMPOLAR WAVE; NINO-SOUTHERN-OSCILLATION; GREAT-BARRIER-REEF; OUTDOOR AIR-POLLUTION; EL-NINO; SOUTHWEST PACIFIC; TEMPERATURE VARIABILITY; INTEGRATED MODEL; INTERANNUAL VARIABILITY</t>
  </si>
  <si>
    <t>Finlayson, Colin Maxwell/IYJ-4162-2023</t>
  </si>
  <si>
    <t>CAMBRIDGE UNIV PRESS</t>
  </si>
  <si>
    <t>CAMBRIDGE</t>
  </si>
  <si>
    <t>THE PITT BUILDING, TRUMPINGTON ST, CAMBRIDGE CB2 1RP, CAMBS, ENGLAND</t>
  </si>
  <si>
    <t>978-0-521-01500-4; 978-0-521-80768-5</t>
  </si>
  <si>
    <t>Environmental Sciences; Environmental Studies</t>
  </si>
  <si>
    <t>Book Citation Index – Social Sciences &amp; Humanities (BKCI-SSH); Book Citation Index – Science (BKCI-S)</t>
  </si>
  <si>
    <t>Environmental Sciences &amp; Ecology</t>
  </si>
  <si>
    <t>BP1AL</t>
  </si>
  <si>
    <t>WOS:000538687300016</t>
  </si>
  <si>
    <t>Hagen, JO; Jefferies, R; Marchant, H; Nelson, F; Prowse, T; Vaughan, DG</t>
  </si>
  <si>
    <t>Hagen, J. O.; Jefferies, R.; Marchant, H.; Nelson, F.; Prowse, T.; Vaughan, D. G.</t>
  </si>
  <si>
    <t>Polar Regions (Arctic and Antarctic)</t>
  </si>
  <si>
    <t>SEA-ICE-EXTENT; ACTIVE-LAYER THICKNESS; SIMULATED ENVIRONMENTAL-CHANGE; SURFACE AIR-TEMPERATURE; ULTRAVIOLET-B RADIATION; OCEAN-ATMOSPHERE MODEL; NORTH-CENTRAL ALASKA; LONG-TERM TRENDS; CLIMATE-CHANGE; SOUTHERN-OCEAN</t>
  </si>
  <si>
    <t>WOS:000538687300020</t>
  </si>
  <si>
    <t>Smith, JB; Schellnhuber, HJ; Mirza, MMQ; Fankhauser, S; Leemans, R; Erda, L; Ogallo, L; Pittock, B; Richels, R; Rosenzweig, C; Safriel, U; Tol, RSJ; Weyant, J; Yohe, G</t>
  </si>
  <si>
    <t>Smith, Joel B.; Schellnhuber, Hans-Joachim; Mirza, M. Monirul Qader; Fankhauser, S.; Leemans, R.; Erda, Lin; Ogallo, L.; Pittock, B.; Richels, R.; Rosenzweig, C.; Safriel, U.; Tol, R. S. J.; Weyant, J.; Yohe, G.</t>
  </si>
  <si>
    <t>Vulnerability to Climate Change and Reasons for Concern: A Synthesis</t>
  </si>
  <si>
    <t>SEA-LEVEL RISE; INCREASED ATMOSPHERIC CO2; ANTARCTIC ICE STREAM; LONG-TERM TRENDS; PERIPHERAL-POPULATIONS; SOCIOECONOMIC IMPACTS; PRECIPITATION AMOUNT; PHENOTYPIC VARIATION; TEMPERATURE EVENTS; SUBGLACIAL GEOLOGY</t>
  </si>
  <si>
    <t>Schellnhuber, Hans Joachim/B-2607-2012; Tol, Richard/JOZ-9904-2023; Leemans, Rik/A-1548-2009</t>
  </si>
  <si>
    <t>Leemans, Rik/0000-0002-4001-6301</t>
  </si>
  <si>
    <t>WOS:000538687300023</t>
  </si>
  <si>
    <t>Stocker, TF; Clarke, GKC; Le Treut, H; Lindzen, RS; Meleshko, VP; Mugara, RK; Palmer, TN; Pierrehumbert, RT; Sellers, PJ; Trenberth, KE; Willebrand, J</t>
  </si>
  <si>
    <t>Houghton, JT; Ding, Y; Griggs, DJ; Noguer, M; VanDerLinden, PJ; Dai, X; Maskell, K; Johnson, CA</t>
  </si>
  <si>
    <t>Stocker, T. F.; Clarke, G. K. C.; Le Treut, H.; Lindzen, R. S.; Meleshko, V. P.; Mugara, R. K.; Palmer, T. N.; Pierrehumbert, R. T.; Sellers, P. J.; Trenberth, K. E.; Willebrand, J.</t>
  </si>
  <si>
    <t>Physical Climate Processes and Feedbacks</t>
  </si>
  <si>
    <t>CLIMATE CHANGE 2001: THE SCIENTIFIC BASIS: CONTRIBUTION OF WORKING GROUP I TO THE THIRD ASSESSMENT REPORT OF THE INTERGOVERNMENTAL PANEL ON CLIMATE CHANGE</t>
  </si>
  <si>
    <t>GENERAL-CIRCULATION MODEL; SEA-SURFACE TEMPERATURE; NORTH-ATLANTIC OSCILLATION; GLOBAL OCEAN CIRCULATION; TROPOSPHERIC WATER-VAPOR; ANTARCTIC ICE STREAM; TERRESTRIAL CARBON METABOLISM; ATMOSPHERE TRANSFER SCHEME; CONVECTIVE BOUNDARY-LAYER; LOW-FREQUENCY VARIABILITY</t>
  </si>
  <si>
    <t>Trenberth, Kevin Edward/A-5683-2012; Holtslag, Bert/B-7842-2010</t>
  </si>
  <si>
    <t>Holtslag, Bert/0000-0003-0995-2481</t>
  </si>
  <si>
    <t>978-0-521-01495-3; 978-0-521-80767-8</t>
  </si>
  <si>
    <t>Environmental Sciences; Meteorology &amp; Atmospheric Sciences</t>
  </si>
  <si>
    <t>Book Citation Index – Science (BKCI-S)</t>
  </si>
  <si>
    <t>Environmental Sciences &amp; Ecology; Meteorology &amp; Atmospheric Sciences</t>
  </si>
  <si>
    <t>BP1AM</t>
  </si>
  <si>
    <t>WOS:000538687900011</t>
  </si>
  <si>
    <t>Church, JA; Gregory, JM; Huybrechts, P; Kuhn, M; Lambeck, K; Nhuan, MT; Qin, D; Woodworth, PL</t>
  </si>
  <si>
    <t>Church, J. A.; Gregory, J. M.; Huybrechts, P.; Kuhn, M.; Lambeck, K.; Nhuan, M. T.; Qin, D.; Woodworth, P. L.</t>
  </si>
  <si>
    <t>Changes in Sea Level</t>
  </si>
  <si>
    <t>GREENLAND ICE-SHEET; GLACIAL ISOSTATIC-ADJUSTMENT; NORTH-ATLANTIC OCEAN; SURFACE MASS-BALANCE; ATMOSPHERIC CARBON-DIOXIDE; GENERAL-CIRCULATION MODEL; TOPEX-POSEIDON ALTIMETRY; SOUTHWEST PACIFIC-OCEAN; HINGE-LINE MIGRATION; ANTARCTIC ICE</t>
  </si>
  <si>
    <t>Church, John A/A-1541-2012; Gregory, Jonathan/J-2939-2016; Huybrechts, Philippe/J-5278-2013</t>
  </si>
  <si>
    <t>Church, John A/0000-0002-7037-8194; Gregory, Jonathan/0000-0003-1296-8644; Huybrechts, Philippe/0000-0003-1406-0525</t>
  </si>
  <si>
    <t>WOS:000538687900015</t>
  </si>
  <si>
    <t>Lambert, SJ; Boer, GJ</t>
  </si>
  <si>
    <t>CMIP1 evaluation and intercomparison of coupled climate models</t>
  </si>
  <si>
    <t>CLIMATE DYNAMICS</t>
  </si>
  <si>
    <t>GENERAL-CIRCULATION MODEL; ANTARCTIC CIRCUMPOLAR CURRENT; ATMOSPHERIC CO2; ANNUAL CYCLE; HEAT FLUXES; SEA-ICE; OCEAN; VARIABILITY; TEMPERATURE; TRANSPORT</t>
  </si>
  <si>
    <t>The climates simulated by 15 coupled atmosphere/ocean climate models participating in the first phase of the Coupled Model Intercomparison Project (CMIP1) are intercompared and evaluated. Results for global means, zonal averages, and geographical distributions of basic climate variables are assembled and compared with observations. The current generation of climate models reproduce the major features of the observed distribution of the basic climate parameters, but there is, nevertheless, a considerable scatter among model results and between simulated and observed values. This is particularly true for oceanic variables. Flux adjusted models generally produce simulated climates which are in better accord with observations than do non-flux adjusted models; however, some non-flux adjusted model results are closer to observations than some flux adjusted model results. Other model differences, such as resolution, do not appear to provide a clear distinction among model results in this generation of models. Many of the systematic differences (those differences common to most models), evident in previous intercomparison studies are exhibited also by the CMIP1 group of models although often with reduced magnitudes. As is characteristic of intercomparison results, different climate variables are simulated with different levels of success by different models and no one model is best for all variables. There is some evidence that the mean model result, obtained by averaging over the ensemble of models, provides an overall best comparison to observations for climatological mean fields. The model deficiencies identified here do not suggest immediate remedies and the overall success of the models in simulating the behaviour of the complex non-linear climate system apparently depends on the slow improvement in the balance of approximations that characterize a coupled climate model. Of course, the results of this and similar studies provide only an indication, at a particular time, of the current state and the moderate but steady evolution and improvement of coupled climate models.</t>
  </si>
  <si>
    <t>Univ Victoria, Meteorol Serv Canada, Canadian Ctr Climate Modelling &amp; Anal, Victoria, BC V8W 2Y2, Canada</t>
  </si>
  <si>
    <t>University of Victoria; Environment &amp; Climate Change Canada; Meteorological Service of Canada; Canadian Centre for Climate Modelling &amp; Analysis (CCCma)</t>
  </si>
  <si>
    <t>Lambert, SJ (corresponding author), Univ Victoria, Meteorol Serv Canada, Canadian Ctr Climate Modelling &amp; Anal, POB 1700, Victoria, BC V8W 2Y2, Canada.</t>
  </si>
  <si>
    <t>boer, george/AAB-1269-2021</t>
  </si>
  <si>
    <t>SPRINGER-VERLAG</t>
  </si>
  <si>
    <t>NEW YORK</t>
  </si>
  <si>
    <t>175 FIFTH AVE, NEW YORK, NY 10010 USA</t>
  </si>
  <si>
    <t>0930-7575</t>
  </si>
  <si>
    <t>CLIM DYNAM</t>
  </si>
  <si>
    <t>Clim. Dyn.</t>
  </si>
  <si>
    <t>2-3</t>
  </si>
  <si>
    <t>10.1007/PL00013736</t>
  </si>
  <si>
    <t>Meteorology &amp; Atmospheric Sciences</t>
  </si>
  <si>
    <t>392JG</t>
  </si>
  <si>
    <t>WOS:000166407500001</t>
  </si>
  <si>
    <t>Mataloni, G; Pose, M</t>
  </si>
  <si>
    <t>Non-marine algae from islands near Cierva point, Antarctic Peninsula</t>
  </si>
  <si>
    <t>CRYPTOGAMIE ALGOLOGIE</t>
  </si>
  <si>
    <t>algae; Antarctica; distribution; ecology; flora</t>
  </si>
  <si>
    <t>KING-GEORGE-ISLAND; HOPE BAY; TERRESTRIAL; COMMUNITIES; REGION; LAKES</t>
  </si>
  <si>
    <t>This paper deals with the microalgal communities inhabiting four islands in the vicinity of Cierva Point (Antarctic Peninsula). Only one of these, Moss Is., is included in the Site of Special Scientific Interest (SSSI) No. 15 established by the Scientific Committee of Antarctic Research. Moss, Pinguino and Leopardo Is. hosted 29, 33 and 36 species respectively, on account of their large size and high environmental variability, while only seven species (two Cyanobacteria and five Chlamydomonadales) thrived in the hypereutrophic coastal pools of the smaller Mansilla Is. Cluster analysis performed on sampling sites on the basis of present species showed cryobiontic communities to have the most constant taxonomic composition amongst the sites. 14.7 % of the species recorded were new for this area and were found exclusively at one of the islands. Only Pinguino Is., the closest to land, did not show any of such taxa. Twelve of the 61 species registered require further study in order to identify them, and some are probably new to science. Taking into account the rarity and patchy distribution of such species, we recommend that Pinguino, Leopardo and Mansilla Is. be included in the SSSI No. 15 in order to protect these possibly unique populations.</t>
  </si>
  <si>
    <t>Univ Buenos Aires, Fac Ciencias Exactas &amp; Nat, Dept Ciencias Biol, RA-1428 Buenos Aires, DF, Argentina</t>
  </si>
  <si>
    <t>University of Buenos Aires</t>
  </si>
  <si>
    <t>Mataloni, G (corresponding author), Univ Buenos Aires, Fac Ciencias Exactas &amp; Nat, Dept Ciencias Biol, Pab 2,C Univ, RA-1428 Buenos Aires, DF, Argentina.</t>
  </si>
  <si>
    <t>gm@bg.fcen.uba.ar</t>
  </si>
  <si>
    <t>Mataloni, Gabriela/0000-0002-6852-6143</t>
  </si>
  <si>
    <t>ADAC-CRYPTOGAMIE</t>
  </si>
  <si>
    <t>PARIS</t>
  </si>
  <si>
    <t>12 RUE DE BUFFON, 75005 PARIS, FRANCE</t>
  </si>
  <si>
    <t>0181-1568</t>
  </si>
  <si>
    <t>1776-0984</t>
  </si>
  <si>
    <t>CRYPTOGAMIE ALGOL</t>
  </si>
  <si>
    <t>Cryptogam. Algol.</t>
  </si>
  <si>
    <t>JAN-MAR</t>
  </si>
  <si>
    <t>10.1016/S0181-1568(00)01049-7</t>
  </si>
  <si>
    <t>Plant Sciences; Marine &amp; Freshwater Biology</t>
  </si>
  <si>
    <t>416EC</t>
  </si>
  <si>
    <t>WOS:000167766500003</t>
  </si>
  <si>
    <t>Chen, W</t>
  </si>
  <si>
    <t>Recurrence of clades as a criterion of reliability: Application to the phylogenies of the Acantomorpha (Teleostei) and the Notothenioidei (Antarctic acantomorphs).</t>
  </si>
  <si>
    <t>CYBIUM</t>
  </si>
  <si>
    <t>French</t>
  </si>
  <si>
    <t>Acantomorpha; Notothenioidei; separate analysis; molecular phylogeny</t>
  </si>
  <si>
    <t>Acanthomorph fishes represent one third of the extant vertebrate biodiversity. The phylogeny of the group is so poorly known that it remains one of the major challenge for the future of systematic Ichthyology. This lack of knowledge limits our ability to choose the correct outgroup when the phylogeny of smaller groups like orders or suborders is investigated, for instance the phylogeny of the Notothenioidei, a suborder of Antarctic perciforms to which our interest was also devoted. Four genes were sequenced for more than 72 taxa. Properties of each gene were studied. The strategy for their phylogenetic analysis is based on a combination of advantages of separate analyses and simultaneous analyses. Separate analyses (without consensus) are crucial for assessing reliability of phylogenetic inferences from repeatability of clades, whatever the statistical robustness associated. Simultaneous analysis is also important for establishing the tree on which the history of characters will be obtained, moreover generally with better statistical robustness. However, in molecular phylogenetics, it is impossible to assess reliability from a single analysis, even from the combination of all the available data (statistical robustness is not reliability). The reliability of clades found from the simultaneous analysis is evaluated from their repeatability in separate analyses. Evaluating repeatability needs a precise analysis of taxonomic congruence. New procedures have been created for this purpose. The analysis of bootstrap repeated components avoids that a single strong signal from a single data set imposes the topology in the simultaneous analysis. This is made for limiting the phylogenetic impact of positively misleading homoplasy, also called non-random homoplasy, for instance a strong composition bias shared by some taxa in only one gene. The analysis of core-groups and parental clades allow to identify incomplete repeatabilities, for instance when a taxon escapes from its clade (parental clade) in only one tree based on a particular gene and not in other trees (based on other genes). These procedures allowed to identify some of the I I new acanthomorph clades that we could detect from the bush. One of the main question was to identify the sister-group of the Notothenioidei. Surprisingly, this group is the family Percidae, which imposes an important geographical and palaeontological gap. Two other works have been made. First, we were interested in resolving the phylogeny of higher notothenioids, composed of the families Harpagiferidae, Artedidraconidae, Bathydraconidae, and Channichthyidae. The complete phylogeny of the channichthyids was resolved (the famous hemoglobin-less icefishes) and was congruent with previous phylogenetic hypotheses based on anatomy. Bathydraconids are clearly composed of three clades that could be subfamilies, but interrelationships of these three are unresolved. Harpagiferids and artedidraconids are sister- families. Second, we have explored the amino-acid sequence of the rhodopsin (a visual pigment), one of our marker used for acanthomorph phylogeny. A comparison of sequences at positions crucial for absorption of the pigment at certain wavelengths between fishes living in different light environments showed that there is no simple relationship between mutations at these positions and the spectral fit of the visual system of a fish to the light in which it lives.</t>
  </si>
  <si>
    <t>Museum Natl Hist Nat, Ichtyol Gen &amp; Appl Lab, F-75231 Paris 05, France; CNRS, FR 1541, Serv Systemat Mol, F-75231 Paris, France</t>
  </si>
  <si>
    <t>Museum National d'Histoire Naturelle (MNHN); Centre National de la Recherche Scientifique (CNRS)</t>
  </si>
  <si>
    <t>Chen, W (corresponding author), Museum Natl Hist Nat, Ichtyol Gen &amp; Appl Lab, 45 Rue Cuvier, F-75231 Paris 05, France.</t>
  </si>
  <si>
    <t>SOC FRANCAISE D ICHTYOLOGIE</t>
  </si>
  <si>
    <t>MUSEUM NATL D HISTOIRE NATURELLE, 43 RUE CUVIER, 75231 PARIS, FRANCE</t>
  </si>
  <si>
    <t>0399-0974</t>
  </si>
  <si>
    <t>Cybium</t>
  </si>
  <si>
    <t>Zoology</t>
  </si>
  <si>
    <t>495KE</t>
  </si>
  <si>
    <t>WOS:000172339100017</t>
  </si>
  <si>
    <t>C</t>
  </si>
  <si>
    <t>Rapley, CG</t>
  </si>
  <si>
    <t>Buchroithner, MF</t>
  </si>
  <si>
    <t>Ice in the earth system: The view from above</t>
  </si>
  <si>
    <t>DECADE OF TRANS-EUROPEAN REMOTE SENSING COOPERATION</t>
  </si>
  <si>
    <t>Proceedings Paper</t>
  </si>
  <si>
    <t>20th Annual Symposium of the European-Association-of-Remote-Sensing-Laboratories (EARSeL)</t>
  </si>
  <si>
    <t>JUN 14-16, 2000</t>
  </si>
  <si>
    <t>DRESDEN, GERMANY</t>
  </si>
  <si>
    <t>ARCTIC SEA-ICE; COVER</t>
  </si>
  <si>
    <t>The cryosphere is a key component of the Earth system, with important linkages and feedbacks affecting the radiative balance of the planet, the circulation of the oceans and atmosphere, global mean sea level, and climate. Space provides an especially valuable vantage point for studying the nature and behaviour of the cryosphere given the challenges of observation in-situ. This is illustrated by recent measurements of changes in Arctic sea ice cover and in the mass balance of the Antarctic Ice sheet. The first satellite missions dedicated to studies of these phenomena are scheduled for launch in the near future.</t>
  </si>
  <si>
    <t>British Antarctic Survey, Cambridge CB3 0E7, England</t>
  </si>
  <si>
    <t>UK Research &amp; Innovation (UKRI); Natural Environment Research Council (NERC); NERC British Antarctic Survey</t>
  </si>
  <si>
    <t>Rapley, CG (corresponding author), British Antarctic Survey, High Cross,Madingley Rd, Cambridge CB3 0E7, England.</t>
  </si>
  <si>
    <t>c.rapley@bas.ac.uk</t>
  </si>
  <si>
    <t>A A BALKEMA PUBLISHERS</t>
  </si>
  <si>
    <t>LEIDEN</t>
  </si>
  <si>
    <t>SCHIPHOLWEG 107C, PO BOX 447, 2316 XC LEIDEN, NETHERLANDS</t>
  </si>
  <si>
    <t>90-5809-187-2</t>
  </si>
  <si>
    <t>Ecology; Forestry; Oceanography; Remote Sensing</t>
  </si>
  <si>
    <t>Conference Proceedings Citation Index - Science (CPCI-S)</t>
  </si>
  <si>
    <t>Environmental Sciences &amp; Ecology; Forestry; Oceanography; Remote Sensing</t>
  </si>
  <si>
    <t>BS47N</t>
  </si>
  <si>
    <t>WOS:000169963600001</t>
  </si>
  <si>
    <t>Walsh, JJ; Dieterle, DA; Lenes, J</t>
  </si>
  <si>
    <t>A numerical analysis of carbon dynamics of the Southern Ocean phytoplankton community:: the roles of light and grazing in effecting both sequestration of atmospheric CO2 and food availability to larval krill</t>
  </si>
  <si>
    <t>DEEP-SEA RESEARCH PART I-OCEANOGRAPHIC RESEARCH PAPERS</t>
  </si>
  <si>
    <t>Review</t>
  </si>
  <si>
    <t>Antarctic carbon cycle; food chains; control factors; biological production; krill fisheries; simulation models</t>
  </si>
  <si>
    <t>WESTERN BRANSFIELD STRAIT; MARGINAL ICE-ZONE; EUPHAUSIA-SUPERBA DANA; ANTARCTIC SEA-ICE; SOUTHEASTERN WEDDELL SEA; AUSTRAL SUMMER; MARINE-PHYTOPLANKTON; SCOTIA SEA; ELEPHANT-ISLAND; NITROGEN ASSIMILATION</t>
  </si>
  <si>
    <t>Reduced ice extent within coastal regions of the Southern Ocean may lead to deeper surface mixed layers (SML), as prevail in offshore areas. A future decline of ice melt-induced stability of the water column may be associated with a shift in dominant food webs, from larger, sun-adapted diatoms grazed by euphausiids to smaller, shade-adapted flagellates consumed by salps. A basically one-dimensional numerical model of three dominant groups of the Antarctic phytoplankton community (diatoms, cryptophytes, and colonial prymnesiophytes) and four types of herbivore (protozoans, salps, copepods, and euphausiids) is used to explore the seasonal importance of both light limitation and grazing pressure on the amount of annual carbon sequestration and larval krill survival within contrasting oceanic and neritic waters, where respective validation data have been gathered during austral spring by the European JGOFS and RACER programs. With imposition of moderate and large grazing stresses, thought to be typical of offshore waters, we were able to replicate the European JGOFS 1992 observations of light penetration, phytoplankton biomass, primary production, pCO(2), bacterial biomass, labile DOG, ammonium, and total particle effluxes at 100 m within the deep SML of our model. The fidelity of such a large set of simulated state variables suggests that multiple limiting factors are indeed operating on different components of the oceanic phytoplankton community - selective grazing losses on the flagellates, but light limitation of diatoms. Release of protozoan grazing pressure in our model instead leads to unobserved spring blooms of cryptophytes, found only in laboratory enclosures. On an annual basis, weak sequestration of atmospheric CO2 is simulated in a habitat typical of the Polar Front, while evasion of carbon dioxide occurs under biophysical conditions of the Antarctic Circumpolar Current. Stratification in shallow SML and the same absolute grazing demands by krill and copepods allows sun-adapted diatoms of our model to bloom at the expense of shade-adapted cryptophytes and prymnesiophytes, eaten by salps and protozoans. We were also able to replicate RACER-I observations of the same suite of variables in 1986-1987, as well as the observed 10-fold range of detrital fluxes caught by other sediment trap deployments during 1980 and 1983 along the Antarctic Peninsula. In western Bransfield Strait, coastal waters are a strong sink for atmospheric CO2 within parcels of Bellingshausen Sea origin, but not perhaps in those from the Weddell Sea, which resemble the oceanic regime of deep SML. We conclude that even in shallow neritic SML. some protozoan rivals of larval krill must still crop flagellates to ensure sufficient abundance of diatom food for both euphausiid survival and possible clogging of the mucous nets of other salp rivals. (C) 2000 Elsevier Science Ltd. All rights reserved.</t>
  </si>
  <si>
    <t>Univ S Florida, Dept Marine Sci, St Petersburg, FL 33701 USA</t>
  </si>
  <si>
    <t>State University System of Florida; University of South Florida</t>
  </si>
  <si>
    <t>Walsh, JJ (corresponding author), Univ S Florida, Dept Marine Sci, St Petersburg, FL 33701 USA.</t>
  </si>
  <si>
    <t>Walsh, John/GQI-2785-2022; Lenes, Jason/G-7755-2012</t>
  </si>
  <si>
    <t>Walsh, John/0000-0002-2510-8734;</t>
  </si>
  <si>
    <t>PERGAMON-ELSEVIER SCIENCE LTD</t>
  </si>
  <si>
    <t>OXFORD</t>
  </si>
  <si>
    <t>THE BOULEVARD, LANGFORD LANE, KIDLINGTON, OXFORD OX5 1GB, ENGLAND</t>
  </si>
  <si>
    <t>0967-0637</t>
  </si>
  <si>
    <t>DEEP-SEA RES PT I</t>
  </si>
  <si>
    <t>Deep-Sea Res. Part I-Oceanogr. Res. Pap.</t>
  </si>
  <si>
    <t>10.1016/S0967-0637(00)00032-7</t>
  </si>
  <si>
    <t>Oceanography</t>
  </si>
  <si>
    <t>373ZH</t>
  </si>
  <si>
    <t>WOS:000165319600001</t>
  </si>
  <si>
    <t>Smith, WO; Asper, VL</t>
  </si>
  <si>
    <t>The influence of phytoplankton assemblage composition on biogeochemical characteristics and cycles in the southern Ross Sea, Antarctica</t>
  </si>
  <si>
    <t>phytoplankton; Antarctica; Ross Seal; polynya; nitrogen; carbon; pigments; diatoms; phaeocystis</t>
  </si>
  <si>
    <t>COMMUNITY STRUCTURE; GROWTH-RATES; OCEAN; IRON; BLOOMS; ICE; DYNAMICS; POLYNYA; WATERS; FLUXES</t>
  </si>
  <si>
    <t>To test the hypothesis that phytoplankton assemblages dominated by different taxa have distinct biogeochemical characteristics and cycles, the temporal and spatial variations in phytoplankton biomass and composition were studied within the Ross Sea polynya, where diatoms and the haptophyte Phaeocystis antarctica are thought to have spatially distinct distributions. Two cruises were completed, with the first conducted in spring, 1994, and the second in late spring-early summer, 1995/1996. Ice concentrations decreased substantially from spring to summer. Mixed layer depths for the region decreased markedly in early spring and were relatively invariant thereafter; the strength of the stratification varied both in time and space. Mixed layers were greater in spring in assemblages dominated by diatoms (as determined by HPLC pigment concentrations) than those dominated by Phaeocystis antarctica, whereas in summer no difference was observed. Nutrient concentrations were initially high and near winter values, but decreased throughout November and December. Nitrate:phosphate removal ratios varied widely, with ratios exceeding 20 in spring but decreasing below 14 in summer. N : P removal ratios at stations dominated by diatoms were less than the Redfield ratio in both spring and summer, and at those stations dominated by P. antarctica the N : P removal ratio was ca. 19 in both seasons. Chlorophyll and particulate matter concentrations increased as nutrients decreased. Spatial and temporal variations of phytoplankton pigments occurred, with 19'-hexa-noylfucoxanthin, a pigment of P. antarctica, exceeding 3.9 mug 1(-1) during spring in the south-central polynya, and fucoxanthin, an accessory pigment of diatoms, found in concentrations &gt; 1 mug 1-1 in the western Ross Sea. The distributions were not mutually exclusive, and concentrations of both pigments were greatest in spring. The early growth of P. antarctica appears to be related to earlier stratification and disappearance of ice from the south-central Ross Sea. Ratios of FUCO/CHL were relatively invariant, but substantial changes in the HEX/CHL and POC/CHL ratios were observed through time. A one-dimensional nitrogen budget for the spring-early summer period suggests that much of the surface production was partitioned into particles, most (53%) of which remained in the upper 200 m. The rest was partitioned into dissolved organic matter (14%), remineralized as ammonium (19%), or sank from the surface layer as particles (13%). The region may serve as a useful analog to other polar systems, and an understanding of the processes controlling assemblage composition, production, and biomass accumulation may provide insights into biogeochemical cycles of other Antarctic environments, (C) 2000 Elsevier Science Ltd. All rights reserved.</t>
  </si>
  <si>
    <t>Virginia Inst Marine Sci, Coll William &amp; Mary, Gloucester Point, VA 23062 USA; Univ So Mississippi, Inst Marine Sci, Stennis Space Ctr, MS 39529 USA</t>
  </si>
  <si>
    <t>William &amp; Mary; Virginia Institute of Marine Science; University of Southern Mississippi</t>
  </si>
  <si>
    <t>Smith, WO (corresponding author), Virginia Inst Marine Sci, Coll William &amp; Mary, Gloucester Point, Gloucester Point, VA 23062 USA.</t>
  </si>
  <si>
    <t>10.1016/S0967-0637(00)00045-5</t>
  </si>
  <si>
    <t>WOS:000165319600007</t>
  </si>
  <si>
    <t>Blain, S; Tréguer, P; Belviso, S; Bucciarelli, E; Denis, M; Desabre, S; Fiala, M; Jézéquel, VM; Le Fèvre, J; Mayzaud, P; Marty, JC; Razouls, S</t>
  </si>
  <si>
    <t>A biogeochemical study of the island mass effect in the context of the iron hypothesis:: Kerguelen Islands, Southern Ocean</t>
  </si>
  <si>
    <t>seawater; iron; phytoplankton</t>
  </si>
  <si>
    <t>PHYTOPLANKTON GROWTH; MARINE-PHYTOPLANKTON; ENRICHMENT EXPERIMENTS; FEEDING SELECTIVITY; EXPORT PRODUCTION; ATLANTIC SECTOR; WEDDELL-SEA; FOOD-WEB; COMMUNITY; PLANKTON</t>
  </si>
  <si>
    <t>In the context of the iron hypothesis, the biogeochemical characteristics of the water masses located in the N-E wake of the Kerguelen archipelago were studied in austral spring 1995 during the ANTARES 3/France JGOFS cruise. In agreement with satellite observations (CZCS and SeaWifs data), this cruise showed the surface waters in the wake of the Kerguelen archipelago to be rich in both chlorophyll a and dissolved iron, compared to other observations in the HNLC oceanic waters of the Southern Ocean. This gives support to the hypothesis that natural fertilization due to iron inputs occurs in the waters surrounding the Antarctic Islands. However, the mesoscale structure of the water masses in the study area was complex, and three contrasted zones were identified within the region of lesser or greater iron enrichment. The coastal zone was characterized by very high concentrations of dissolved iron ( &gt; 10 nM) and lithogenic material, but the phytoplankton biomass, dominated by small species, was low. An intrusion of cold Antarctic surface water, rich in silicic acid, was separated from the coastal zone by a shelf-break front. This water tongue contained chlorophyll a concentrations as. low (&lt; 0.3 g 1(-1)) as in the iron-poor open ocean. A third water body, offshore, was characterized by the highest concentrations of phytoplankton (cell abundance and chlorophyll a) and biogenic silica, the community being dominated by large diatoms and dinoflagellates. The distribution of conservative tracers and lithogenic elements, as well as the phytoplankton taxonomic composition, indicate that this offshore water was not derived from a coastal origin. It more likely resulted from the mixing of the Antarctic water tongue Bowing northward along the island continental slope with subantarctic surface water flowing eastward north of the Kerguelen Islands. As regards the interactions between dissolved iron and phytoplankton biomass and growth in surface waters, two typical situations were encountered. Although iron-rich (dissolved Fe &gt; 2 nM), both the coastal zone and the Antarctic water tongue were chlorophyll a poor. This was accounted for by either a heavy grazing pressure exerted by copepods (coastal zone) or an unfavourable light-mixing regime (Antarctic water tongue). In the offshore waters, by contrast, dissolved iron concentrations in the range 0.45-0.7 nM were sufficient to support higher phytoplankton growth under a more favourable light-mixing regime. (C) 2000 Elsevier Science Ltd. All rights reserved.</t>
  </si>
  <si>
    <t>Inst Univ Europeen de la Mer, Lab Sci Environm Marin, UMR CNRS 6539, F-29280 Plouzane, France; CENS, Lab Sci Climat &amp; Environm, UMR CNRS 1572, F-91191 Gif Sur Yvette, France; Ctr Oceanol Marseille, Lab Oceanog &amp; Biogeochim, UMR CNRS 6535, F-13288 Marseille 09, France; Lab Oceanog Biol de Banyuls, UMR CNRS 7621, F-66651 Banyuls sur Mer, France; Lab Oceanog Biol &amp; Ecol Plancton Marin, ESA 7076, F-06230 Villefranche Sur Mer, France; Phys &amp; Chim Marines Lab, ESA 7077, F-06238 Villefranche Sur Mer, France</t>
  </si>
  <si>
    <t>Universite de Bretagne Occidentale; Institut Universitaire Europeen de la Mer (IUEM); Centre National de la Recherche Scientifique (CNRS); Ifremer; Institut de Recherche pour le Developpement (IRD); CEA; Centre National de la Recherche Scientifique (CNRS); Universite Paris Saclay; Centre National de la Recherche Scientifique (CNRS); CNRS - National Institute for Earth Sciences &amp; Astronomy (INSU)</t>
  </si>
  <si>
    <t>Inst Univ Europeen de la Mer, Lab Sci Environm Marin, UMR CNRS 6539, Pl Nicolas Copernic, F-29280 Plouzane, France.</t>
  </si>
  <si>
    <t>stephane.blain@univ-brest.fr</t>
  </si>
  <si>
    <t>Treguer, Paul/H-6064-2012; blain, stephane/F-6917-2010</t>
  </si>
  <si>
    <t>martin-jezequel, veronique/0000-0002-6633-1334; blain, stephane/0000-0002-5234-2446</t>
  </si>
  <si>
    <t>1879-0119</t>
  </si>
  <si>
    <t>10.1016/S0967-0637(00)00047-9</t>
  </si>
  <si>
    <t>WOS:000165319600008</t>
  </si>
  <si>
    <t>Boyd, PW; Law, CS</t>
  </si>
  <si>
    <t>The Southern Ocean Iron RElease Experiment (SOIREE) - introduction and summary</t>
  </si>
  <si>
    <t>DEEP-SEA RESEARCH PART II-TOPICAL STUDIES IN OCEANOGRAPHY</t>
  </si>
  <si>
    <t>SUB-ARCTIC PACIFIC; PHYTOPLANKTON BLOOM; FERTILIZATION EXPERIMENT; ATMOSPHERIC CO2; EXPORT PRODUCTION; INORGANIC CARBON; ANTARCTIC WATERS; GROWTH; LIGHT; AVAILABILITY</t>
  </si>
  <si>
    <t>This volume is dedicated to the Southern Ocean Iron RElease Experiment (SOIREE), the first in situ iron fertilisation experiment performed in the polar waters of the Southern Ocean. SOIREE was an interdisciplinary study involving participants from six countries, and took place in February 1999 south of the Polar Front in the Australasian-Pacific sector of the Southern Ocean. Approximately 3800 kg of acidified FeSO4. 7H(2)O and 165 g of the tracer sulphur hexafluoride (SF,) were added to a 65-m deep surface mixed layer over an area of similar to 50 km(2). Initially, mean dissolved iron concentrations were similar to 2.7 nM, but decreased to ambient levels within days, requiring subsequent additions of 1550-1750 kg of acidified FeSO4. 7H(2)O on days 3, 5 and 7 of the experiment. During the 13-day site occupation there were iron-mediated increases in phytoplankton growth rates, with marked increases in chlorophyll a (up to 2 mu gl(-1)) and production rates (up to 1.3 g Cm-2 d(-1)). These resulted in subsequent changes in the pelagic ecosystem structure, and in the cycling of carbon, silica and sulphur, such as a 10% drawdown of surface CO2. The SOIREE bloom persisted for &gt; 40 days following our departure from the site, as observed via SeaWiFS remotely sensed observations of Ocean Colour. Papers in this volume report in detail on aspects of this study, from the oceanographic setting of the experiment to a modelling simulation of the SOIREE bloom. A CD-ROM accompanies this volume and contains the main SOIREE datasets and ancillary information including the pre-experiment 'desktop' database study for site-selection, and satellite images of the SOIREE bloom. (C) 2001 Elsevier Science Ltd. All rights reserved.</t>
  </si>
  <si>
    <t>Univ Otago, Dept Chem, Ctr Chem &amp; Phys Oceanog, NIWA,Natl Inst Water &amp; Atmospher Res, Dunedin, New Zealand; Plymouth Marine Lab, Plymouth PL1 3DH, Devon, England</t>
  </si>
  <si>
    <t>University of Otago; National Institute of Water &amp; Atmospheric Research (NIWA) - New Zealand; Plymouth Marine Laboratory</t>
  </si>
  <si>
    <t>Boyd, PW (corresponding author), Univ Otago, Dept Chem, Ctr Chem &amp; Phys Oceanog, NIWA,Natl Inst Water &amp; Atmospher Res, Dunedin, New Zealand.</t>
  </si>
  <si>
    <t>pboyd@alkali.otago.ac.nz</t>
  </si>
  <si>
    <t>Boyd, Philip/J-7624-2014</t>
  </si>
  <si>
    <t>Boyd, Philip/0000-0001-7850-1911; Law, Cliff/0000-0002-7669-2475</t>
  </si>
  <si>
    <t>0967-0645</t>
  </si>
  <si>
    <t>DEEP-SEA RES PT II</t>
  </si>
  <si>
    <t>Deep-Sea Res. Part II-Top. Stud. Oceanogr.</t>
  </si>
  <si>
    <t>11-12</t>
  </si>
  <si>
    <t>10.1016/S0967-0645(01)00002-9</t>
  </si>
  <si>
    <t>445XG</t>
  </si>
  <si>
    <t>Green Submitted</t>
  </si>
  <si>
    <t>WOS:000169483400001</t>
  </si>
  <si>
    <t>Trull, T; Rintoul, SR; Hadfield, M; Abraham, ER</t>
  </si>
  <si>
    <t>Circulation and seasonal evolution of polar waters south of Australia: Implications for iron fertilization of the Southern Ocean</t>
  </si>
  <si>
    <t>ANTARCTIC CIRCUMPOLAR CURRENT; PHYTOPLANKTON COMMUNITY STRUCTURE; EQUATORIAL PACIFIC PHYTOPLANKTON; RELEASE EXPERIMENT SOIREE; SEA-ICE; DRAKE PASSAGE; ENRICHMENT EXPERIMENTS; PLANKTON COMMUNITIES; KERGUELEN-ISLANDS; EXPORT PRODUCTION</t>
  </si>
  <si>
    <t>The Southern Ocean Iron Release Experiment (SOIREE) was carried out in late summer (February 1999) south of Australia (61 degreesS, 140 degreesE). This region of the southern Antarctic Zone (AZ-S), between the southern branch of the Polar Front (PF) and the southern front of the Antarctic Circumpolar Current (SAACF), is characterized by weak currents and is remote from the influence of sea-ice or coastal waters. The SOIREE site exhibits high nutrient concentrations year-round (phosphate, nitrate and silicate remain above 10 muM), low chlorophyll accumulations ( &lt; 0.5 mug/l), and moderate summer mixed-layer depths (50-70m). The SOIREE iron fertilization led to a large increase in algal biomass, particularly large diatoms, and persisted into March well after normal seasonal production is complete. No increase in carbon export occurred during the SOIREE 13-day observation period. The seasonal cycles of mixed-layer development and low biomass accumulation at the SOIREE site are representative of most of the region between the PF and the SACCF, i.e. between similar to 54 and similar to 62 degreesS, and to a lesser extent the Polar Frontal Zone. However, north of similar to 59 degreesS surface waters are depleted in silica by mid-summer las occurs year-round north of the Subantarctic Front). A different response to iron fertilization is likely under these conditions, possibly the promotion of lightly silicified diatoms and non-siliceous organisms, whose ability to export carbon is uncertain. The SOIREE fertilized waters are likely to have remained at the surface in the AZ-S throughout the winter. In general, carbon sequestration by subduction of iron-enhanced biomass accumulations is unlikely south of the SAF, except in very limited regions. Moreover, intermediate water masses formed in the Southern Ocean sink with little pre-formed silicate, so that the silica pump is already working at close to maximal capacity. Therefore, in the absence of significant changes in community structure or algal physiology, which increase the ratio of carbon export to silicate export, increased iron supply is unlikely to increase the magnitude of carbon sequestration. (C) 2001 Elsevier Science Ltd. All rights reserved.</t>
  </si>
  <si>
    <t>Univ Tasmania, Antartic Cooperaat Res Ctr, Hobart, Tas 7001, Australia; CSIRO Marine Res, Hobart, Tas 7001, Australia; NIWA, Wellington, New Zealand</t>
  </si>
  <si>
    <t>University of Tasmania; Commonwealth Scientific &amp; Industrial Research Organisation (CSIRO); National Institute of Water &amp; Atmospheric Research (NIWA) - New Zealand</t>
  </si>
  <si>
    <t>Trull, T (corresponding author), Univ Tasmania, Antartic Cooperaat Res Ctr, Hobart, Tas 7001, Australia.</t>
  </si>
  <si>
    <t>tom.trull@utas.edu.au; Steve.Rintoul@marine.csiro.au</t>
  </si>
  <si>
    <t>Trull, Tom W/B-7028-2014; Abraham, Edward R/D-7422-2011; Rintoul, Stephen R/A-1471-2012</t>
  </si>
  <si>
    <t>Abraham, Edward R/0000-0003-4490-6704; Rintoul, Stephen R/0000-0002-7055-9876</t>
  </si>
  <si>
    <t>10.1016/S0967-0645(01)00003-0</t>
  </si>
  <si>
    <t>WOS:000169483400002</t>
  </si>
  <si>
    <t>Law, CS; Ling, RD</t>
  </si>
  <si>
    <t>Nitrous oxide flux and response to increased iron availability in the Antarctic Circumpolar Current</t>
  </si>
  <si>
    <t>NITRIFYING BACTERIA; ATMOSPHERIC CO2; GAS-EXCHANGE; HYDROXYLAMINE; FERTILIZATION; NITRITE; CARBON; WATER; NITRIFICATION; SIMULATIONS</t>
  </si>
  <si>
    <t>Nitrous oxide (N2O) profiles were obtained at stations inside and outside an area of iron-fertilised surface water at 61 degreesS 140 degreesE during the Southern Ocean Iron Enrichment Experiment (SOIREE). Surface N-2(O) saturation and air-sea flux during SOIREE (98-103%; - 1.18-1.75 mu mol/m(2)/d) were consistent with that obtained between 58 degreesS 158 degreesE and 49 degreesS 162 degreesE (99-104%; - 0.3-4.7 mu mol/m(2)/d), and confirmed predicted flux estimates for this region. Turbulent eddy diffusion across the pycnocline supplied an average 38% of the air-sea N2O flux, indicating a production mechanism in the upper 80 m. There was no significant difference in N2O saturation and flux between stations inside and outside the patch, although a N2O saturation maximum in the pycnocline at most stations inside the iron-fertilised patch was not present at stations outside. The mean N2O profile for the stations outside the patch was used as a control to identify pycnocline N2O production, which increased during SOIREE and co-varied with iron-mediated increases in phytoplankton biomass. The mechanisms for iron-mediated N2O production in the pycnocline are considered. On longer timescales, the decrease in radiative forcing resulting from carbon fixation and CO, uptake during SOIREE may be subsequently offset by 6-12% by N2O production. Furthermore, analysis of scenarios of large-scale Southern Ocean fertilisation supports previous observations that any decrease in radiative forcing due to CO2 drawdown may be partially or totally negated by an increase in N2O production. (C) 2001 Elsevier Science Ltd. All rights reserved.</t>
  </si>
  <si>
    <t>Plymouth Marine Lab, Plymouth PL1 3DH, Devon, England</t>
  </si>
  <si>
    <t>Plymouth Marine Laboratory</t>
  </si>
  <si>
    <t>Plymouth Marine Lab, Prospect Pl, Plymouth PL1 3DH, Devon, England.</t>
  </si>
  <si>
    <t>csl@pml.ac.uk</t>
  </si>
  <si>
    <t>Law, Cliff/0000-0002-7669-2475</t>
  </si>
  <si>
    <t>1879-0100</t>
  </si>
  <si>
    <t>10.1016/S0967-0645(01)00006-6</t>
  </si>
  <si>
    <t>WOS:000169483400005</t>
  </si>
  <si>
    <t>Trull, TW; Armand, L</t>
  </si>
  <si>
    <t>Insights into Southern Ocean carbon export from the δ13C of particles and dissolved inorganic carbon during the SOIREE iron release experiment</t>
  </si>
  <si>
    <t>PHOTOSYNTHETIC C-13 FRACTIONATION; EQUATORIAL PACIFIC PHYTOPLANKTON; ORGANIC-CARBON; ISOTOPIC FRACTIONATION; SEASONAL EVOLUTION; GROWTH-RATE; FOOD-WEB; SEA; MARINE; MATTER</t>
  </si>
  <si>
    <t>C-13 contents of total dissolved inorganic carbon (delta C-13-DIC) and particulate organic matter (delta C-13(org)) were determined to examine the factors influencing phytoplankton C-13 contents and carbon export from the SOIREE iron-induced algal bloom. Suspended particles sieved into 200, 70, 20, 5, and 1 micrometer(mum) size classes displayed an extremely large range in delta C-13(org) Of 8 parts per thousand. delta C-13(org) values increased from - 28 parts per thousand for the 1-5 mum class to a maximum of - 20 parts per thousand for the 20-70 mum class, which was dominated by the large pennate diatom Fragilariopsis kerguelensis. Larger particles (70-200 and &gt; 200 mum) had similar delta C-13(org) to the smaller (1-5 and 5-20 mum) particles, reflecting both the presence of long narrow Thalassiothrix antarctica diatoms and zooplankton that grazed on small phytoplankton. Comparison of results inside and outside the bloom identified cell surface/volume ratio (mainly reflecting cell size) as the dominant control of phytoplankton delta C-13(org), with subsidary roles for growth rate and seawater [CO2](aq). The SOIREE iron fertilization provoked an increase in the proportion of large ( &gt; 20 mum) diatoms. This increased the delta C-13(org) of the bulk suspended particles within the mixed layer, but there was minimal increase in the delta C-13(org) of sub-surface suspended particles and negligible change in the delta C-13(org) of particles obtained with sediment traps suspended below the bloom. This suggests that there was no increase in carbon export over the similar to 13 day observation period. However, comparison to delta C-13(org) results from previous voyages, and to vertical changes in delta C-13-DIC, suggests that large diatoms control carbon export from the Antarctic Zone over the summer growth season. This result must be viewed with great caution as it is based on very sparse data and involves several assumptions. (C) 2001 Elsevier Science Ltd. All rights reserved.</t>
  </si>
  <si>
    <t>Univ Tasmania, Antartic Cooperat Res Ctr, Hobart, Tas 7001, Australia; Univ Tasmania, IASOS, Hobart, Tas 7001, Australia</t>
  </si>
  <si>
    <t>University of Tasmania; University of Tasmania</t>
  </si>
  <si>
    <t>Univ Tasmania, Antartic Cooperat Res Ctr, Hobart, Tas 7001, Australia.</t>
  </si>
  <si>
    <t>Tom-Trull@utas.edu.au; Leanne.Armand@utas.edu.au</t>
  </si>
  <si>
    <t>Armand, Leanne K/C-9004-2009; Trull, Tom W/B-7028-2014</t>
  </si>
  <si>
    <t>Armand, Leanne/0000-0003-3995-308X</t>
  </si>
  <si>
    <t>10.1016/S0967-0645(01)00013-3</t>
  </si>
  <si>
    <t>WOS:000169483400012</t>
  </si>
  <si>
    <t>Bowie, AR; Maldonado, MT; Frew, RD; Croot, PL; Achterberg, EP; Mantoura, RFC; Worsfold, PJ; Law, CS; Boyd, PW</t>
  </si>
  <si>
    <t>The fate of added iron during a mesoscale fertilisation experiment in the Southern Ocean</t>
  </si>
  <si>
    <t>EQUATORIAL PACIFIC-OCEAN; RELEASE EXPERIMENT SOIREE; SUB-ARCTIC PACIFIC; MARINE-PHYTOPLANKTON; EXPORT PRODUCTION; PLANKTON COMMUNITIES; ENRICHMENT EXPERIMENTS; SULFUR-HEXAFLUORIDE; ANTARCTIC WATERS; ORGANIC-LIGANDS</t>
  </si>
  <si>
    <t>The first Southern Ocean Iron RElease Experiment (SOIREE) was performed during February 1999 in Antarctic waters south of Australia (61 degreesS, 140 degreesE), in order to verify whether iron supply controls the magnitude of phytoplankton production in this high nutrient low chlorophyll (HNLC) region. This paper describes iron distributions in the upper ocean during our 13-day site occupation, and presents a pelagic iron budget to account for the observed losses of dissolved and total iron from waters of the fertilised patch. Iron concentrations were measured underway during daily transects through the patch and in vertical profiles of the 65-m mixed layer. High internal consistency was noted between data obtained using contrasting sampling and analytical techniques. A pre-infusion survey confirmed the extremely low ambient dissolved (0.1 nM) and total (0.4 nM) iron concentrations. The initial enrichment elevated the dissolved iron concentration to 2.7 nM. Thereafter, dissolved iron was rapidly depleted inside the patch to 0.2-0.3 nM, necessitating three re-infusions. A distinct biological response was observed in iron-fertilised waters, relative to outside the patch, unequivocally confirming that iron limits phytoplankton growth rates and biomass at this site in summer. Our budget describing the fate of the added iron demonstrates that horizontal dispersion of fertilised waters (resulting in a quadrupling of the areal extent of the patch) and abiotic particle scavenging accounted for most of the decreases in iron concentrations inside the patch (31-58% and 12-49% of added iron, respectively). The magnitude of these loss processes altered towards the end of SOIREE, and on days 12-13 dissolved (1.1 nM) and total (2.3 nM) iron concentrations remained elevated compared to surrounding waters. At this time, the biogenic iron pool (0.1 nM) accounted for only 1-2% of the total added iron. Large pennate diatoms ( &gt; 20 mum) and autotrophic flagellates (2-20 mum) were the dominant algal groups in the patch, taking up the added iron and representing 13% and 39% of the biogenic iron pool, respectively. Iron regeneration by grazers was tightly coupled to uptake by phytoplankton and bacteria, indicating that biological Fe cycling within the bloom was self-sustaining. A concurrent increase in the concentration of iron-binding ligands on days 11-12 probably retained dissolved iron within the mixed layer. Ocean colour satellite images in late March suggest that the bloom was still actively growing 42 days after the onset of SOIREE, and hence by inference that sufficient iron was maintained in the patch for this period to meet algal requirements. This raises fundamental questions regarding the biogeochemical cycling of iron in the Southern Ocean and, in particular, how bioavailable iron was retained in surface waters and/or within the biota to sustain algal growth. (C) 2001 Elsevier Science Ltd. All rights reserved.</t>
  </si>
  <si>
    <t>Univ Plymouth, Plymouth Environm Res Ctr, Dept Environm Sci, Plymouth PL4 8AA, Devon, England; McGill Univ, Dept Biol, Montreal, PQ H2T 2V8, Canada; Univ Otago, Dept Chem, Dunedin, New Zealand; Netherlands Inst Sea Res, Marine Chem &amp; Geol Dept, NL-1790 AB Den Burg, Texel, Netherlands; Plymouth Marine Lab, Plymouth PL1 3DH, Devon, England; Univ Otago, Ctr Chem &amp; Phys Oceanog, Natl Inst Water &amp; Atmosphere, Dunedin, New Zealand</t>
  </si>
  <si>
    <t>University of Plymouth; McGill University; University of Otago; Utrecht University; Royal Netherlands Institute for Sea Research (NIOZ); Plymouth Marine Laboratory; University of Otago; National Institute of Water &amp; Atmospheric Research (NIWA) - New Zealand</t>
  </si>
  <si>
    <t>Bowie, AR (corresponding author), Univ Tasmania, Antartic CRC, GPO Box 252-80, Hobart, Tas 7001, Australia.</t>
  </si>
  <si>
    <t>andybowie@yahoo.com</t>
  </si>
  <si>
    <t>Frew, Russell/HDN-6138-2022; Croot, Peter/C-8460-2009; Frew, Russell/I-5591-2012; Croot, Peter/U-5296-2019; Maldonado, Maria T/N-2877-2017; Achterberg, Eric P/C-5820-2009; Boyd, Philip/J-7624-2014; Bowie, Andrew/C-8677-2013</t>
  </si>
  <si>
    <t>Croot, Peter/0000-0003-1396-0601; Frew, Russell/0000-0002-6138-2116; Maldonado, Maria T/0000-0001-8134-9375; Boyd, Philip/0000-0001-7850-1911; Law, Cliff/0000-0002-7669-2475; Bowie, Andrew/0000-0002-5144-7799; Worsfold, Paul/0000-0002-2262-7723</t>
  </si>
  <si>
    <t>10.1016/S0967-0645(01)00015-7</t>
  </si>
  <si>
    <t>WOS:000169483400014</t>
  </si>
  <si>
    <t>Alleman, LY; Church, TM; Véron, AJ; Kim, G; Hamelin, B; Flegal, AR</t>
  </si>
  <si>
    <t>Isotopic evidence of contaminant lead in the South Atlantic troposphere and surface waters</t>
  </si>
  <si>
    <t>WESTERN NORTH-ATLANTIC; ATMOSPHERIC TRACE-METALS; ANTHROPOGENIC LEAD; PARTICULATE LEAD; VOLCANIC-ROCKS; ANTARCTIC SNOW; WET DEPOSITION; SARGASSO SEA; HEAVY-METALS; ISLAND ARCS</t>
  </si>
  <si>
    <t>The third Intergovernmental Oceanographic Commission (IOC) Baseline Contaminant cruise (May-June 1996) has established the first lead isotopic compositions in the surface water and the atmosphere of the Equatorial and South Atlantic Ocean. These ratios have evidenced both anthropogenic and natural origins of lead along the cruise transect (from 33 degreesS to 10 degreesN). The isotopic gradients tentatively have been, attributed to aeolian as well as surface-water advective inputs from a suite of rather local and remote sources to the Southern Hemisphere. Relatively low Pb-206/Pb-207 ratios (x +/- sd) were encountered within the South Equatorial Current between 17 degreesS and 5 degreesS (1.156 +/- 0.003). Those were bracketed by more radiogenic ratios at higher latitudes in the Southern Hemisphere (33 degreesS to 23 degreesS), within the Brazil Current and the Subtropical Gyre (1.163 +/- 0.003), and in the Northern Hemisphere (0 degrees to 10 degreesN) (1.165 +/- 0.005). The latter were comparable to ratios of surface water in the North Atlantic Equatorial Ocean (1.169 +/- 0.006), under a combined contaminant influence of both North American westerlies (1.19-1.20) and European easterlies (1.155-1.165). That predominance of contaminant lead contrasts with the measurable presence of natural lead in surface waters of the Equatorial Ocean, which are attributed to aeolian inputs of Saharan dust. The ratios of lead in surface waters at higher latitudes in the South Atlantic are characteristic of anthropogenic lead aerosols also detected in Antarctic ice, and could substantiate as well the hypothesized aerosol recycling of lead by sea-spray emission in the far Southern Hemisphere. The atmospheric lead isotopic compositions (Pb-206/Pb-207) in bulk depositions (1.171 +/- 0.006), precipitation (1.171 +/- 0.006) and aerosols (1.168 +/- 0.011) were, generally, more radiogenic than the surface waters (1.162 +/- 0.005). Beside a poor representation of a short term atmospheric sampling, this difference could reflect a recent evolution in atmospheric lead emissions, which have not yet been reflected in oceanic surface waters. It may also be due, in part, to advective lead inputs from surface oceanic circulation of the South Equatorial Current. (C) 2001 Elsevier Science Ltd. All rights reserved.</t>
  </si>
  <si>
    <t>Univ Aix Marseille 3, CEREGE UMR 6635, F-13545 Aix En Provence 4, France; Univ Delaware, Coll Marine Studies, Newark, DE 19716 USA; Univ Calif Santa Cruz, WIGS, Santa Cruz, CA 95064 USA</t>
  </si>
  <si>
    <t>Aix-Marseille Universite; Universite PSL; College de France; Centre National de la Recherche Scientifique (CNRS); Institut de Recherche pour le Developpement (IRD); University of Delaware; University of California System; University of California Santa Cruz</t>
  </si>
  <si>
    <t>Véron, AJ (corresponding author), Univ Aix Marseille 3, CEREGE UMR 6635, BP80, F-13545 Aix En Provence 4, France.</t>
  </si>
  <si>
    <t>Alleman, Laurent/T-2038-2019; Kim, Guebuem/B-3636-2014; Veron, Alain j/AGZ-2407-2022</t>
  </si>
  <si>
    <t>Alleman, Laurent/0000-0003-4165-1742; Veron, Alain j/0000-0002-0933-4053</t>
  </si>
  <si>
    <t>10.1016/S0967-0645(01)00019-4</t>
  </si>
  <si>
    <t>445XL</t>
  </si>
  <si>
    <t>WOS:000169483800004</t>
  </si>
  <si>
    <t>Alleman, LY; Church, TM; Ganguli, P; Véron, AJ; Hamelin, B; Flegal, AR</t>
  </si>
  <si>
    <t>Role of oceanic circulation on contaminant lead distribution in the South Atlantic</t>
  </si>
  <si>
    <t>WESTERN NORTH-ATLANTIC; ANTARCTIC BOTTOM WATER; ANTHROPOGENIC LEAD; ISOTOPIC EVIDENCE; TRACE-METALS; TRANSIENT TRACERS; BOUNDARY CURRENT; HEAVY-METALS; INDUSTRIAL; TRITIUM</t>
  </si>
  <si>
    <t>Both the relatively high lead concentrations and their characteristic anthropogenic isotopic compositions attest to the widespread contamination of industrial lead in the western Equatorial and South Atlantic Ocean. Spatial gradients in those isotopic signatures evidence the conservative lateral transport of lead in oceanic water masses, while the discrete isotopic signatures in deep oceanic waters substantiate the complementary hypothesis that the release of lead from settling particles is relatively small on a decadal time-scale. Specifically, the relatively low radiogenic lead (e.g., Pb-206/Pb-207, 1.148 +/- 0.009) in the Lower-North Atlantic Deep Water (1-NADW) south of 10 degrees North is primarily attributed to US industrial lead emitted in the Northern Hemisphere prior to 1965, and the more radiogenic lead (e.g., Pb-206/Pb-207 = 1.180 +/- 0.006) in the Upper-North Atlantic Deep Water (u-NADW) is primarily attributed to subsequent industrial lead emissions in that hemisphere. In contrast, the relatively radiogenic lead (e.g., Pb-206/Pb-207,1.186 +/- 0.007) in the Antarctic Bottom Water (AABW) seemingly reflects a mixture of natural and anthropogenic lead sources within the Southern Hemisphere; and its isotopic dissimilarity with that (e.g., Pb-206/Pb-207 = 1.159 +/- 0.002) of Antarctic Intermediate Water (AAIW) and the AABW may be due to differences in either their aeolian or water-mass inputs. (C) 2001 Published by Elsevier Science Ltd.</t>
  </si>
  <si>
    <t>Univ Delaware, Coll Marine Studies, Newark, DE 19716 USA; Univ Aix Marseille 3, CEREGE UMR 6635, F-13545 Aix En Provence 4, France; Univ Calif Santa Cruz, WIGS, Santa Cruz, CA 95064 USA</t>
  </si>
  <si>
    <t>University of Delaware; Aix-Marseille Universite; Universite PSL; College de France; Centre National de la Recherche Scientifique (CNRS); Institut de Recherche pour le Developpement (IRD); University of California System; University of California Santa Cruz</t>
  </si>
  <si>
    <t>Univ Delaware, Coll Marine Studies, Newark, DE 19716 USA.</t>
  </si>
  <si>
    <t>tchurch@udel.edu</t>
  </si>
  <si>
    <t>Alleman, Laurent/T-2038-2019; Veron, Alain j/AGZ-2407-2022; Ganguli, Priya/I-3926-2013</t>
  </si>
  <si>
    <t>Alleman, Laurent/0000-0003-4165-1742; Veron, Alain j/0000-0002-0933-4053; Ganguli, Priya/0000-0002-5965-0230</t>
  </si>
  <si>
    <t>10.1016/S0967-0645(01)00021-2</t>
  </si>
  <si>
    <t>WOS:000169483800006</t>
  </si>
  <si>
    <t>Cutter, GA; Cutter, LS; Featherstone, AM; Lohrenz, SE</t>
  </si>
  <si>
    <t>Antimony and arsenic biogeochemistry in the western Atlantic Ocean</t>
  </si>
  <si>
    <t>NORTH-ATLANTIC; MARINE-ALGAE; PHOSPHATE CONCENTRATION; HYDRIDE GENERATION; HYDROGRAPHIC DATA; NATURAL-WATERS; TRACE-ELEMENT; FLOW PATTERNS; SPECIATION; SEAWATER</t>
  </si>
  <si>
    <t>The subtropical to equatorial Atlantic Ocean provides a unique regime in which one can examine the biogeochemical cycles of antimony and arsenic. In particular, this region is strongly affected by inputs from the Amazon River and dust from North Africa at the surface, and horizontal transport at depth from high-latitude northern (e.g., North Atlantic Deep Water) and southern waters (e.g., Antarctic Bottom and Intermediate Waters). As a part of the 1996 Intergovernmental Oceanographic Commission's Contaminant Baseline Survey, data for dissolved As(III + V), As(III), mono- and dimethyl arsenic, Sb(III + V), Sb(III), and monomethyl antimony were obtained at six vertical profile stations and 44 sites along the 11,000 km transect from Montevideo, Uruguay, to Bridgetown, Barbados. The arsenic results were similar to those in other oceans, with moderate surface depletion, deep-water enrichment, a predominance of arsenate (&gt; 85% As(V)), and methylated arsenic species and As(III) in surface waters that are likely a result of phytoplankton conversions to mitigate arsenate stress (toxicity). Perhaps the most significant discovery in the arsenic results was the extremely low concentrations in the Amazon Plume (as low as 9.8 nmol/l) that appear to extend for considerable distances offshore in the equatorial region. The very low concentration of inorganic arsenic in the Amazon River (2.8 nmol/l; about half those in most rivers) is probably the result of intense iron oxyhydroxide scavenging. Dissolved antimony was also primarily in the pentavalent state (&gt; 95% antimonate), but Sb(III) and monomethyl antimony were only detected in surface waters and displayed no correlations with biotic tracers such as nutrients and chlorophyll a. Unlike As(III + V)'s nutrient-type vertical profiles, Sb(III + V) displayed surface maxima and decreased into the deep waters, exhibiting the behavior of a scavenged element with a strong atmospheric input. While surface water Sb had a slight correlation with dissolved Al, it is likely that atmospheric Sb is delivered with combustion byproducts and not from mineral aerosols. In the Amazon Plume, antimony concentrations dropped substantially, and an Amazon River sample had a concentration (0.25 nmol/l) that was Less than one-fourth those found in other major rivers. Using these river data, and estimates of atmospheric fluxes based on shipboard measurements and collections from Barbados, the atmospheric deposition of antimony to the equatorial Atlantic (2 degreesS-8 degreesN) is twice the Amazon flux, while the atmospheric deposition of arsenic is only 10% of the river's flux. (C) 2001 Elsevier Science Ltd. All rights reserved.</t>
  </si>
  <si>
    <t>Old Dominion Univ, Dept Ocean Earth &amp; Atmospher Sci, Norfolk, VA 23529 USA; Univ Tasmania, Sch Chem, Hobart, Tas 7001, Australia; Univ So Mississippi, Dept Marine Sci, Stennis Space Ctr, MS 39529 USA</t>
  </si>
  <si>
    <t>Old Dominion University; University of Tasmania; University of Southern Mississippi</t>
  </si>
  <si>
    <t>Cutter, GA (corresponding author), Old Dominion Univ, Dept Ocean Earth &amp; Atmospher Sci, Norfolk, VA 23529 USA.</t>
  </si>
  <si>
    <t>Lohrenz, Steven/AAC-9151-2019; Cutter, Gregory/C-7898-2017</t>
  </si>
  <si>
    <t>Lohrenz, Steven/0000-0003-3811-2975; Cutter, Gregory/0000-0001-6744-6718</t>
  </si>
  <si>
    <t>10.1016/S0967-0645(01)00023-6</t>
  </si>
  <si>
    <t>WOS:000169483800008</t>
  </si>
  <si>
    <t>Cutter, GA; Cutter, LS</t>
  </si>
  <si>
    <t>Sources and cycling of selenium in the western and equatorial Atlantic Ocean</t>
  </si>
  <si>
    <t>SAN-FRANCISCO BAY; NORTH-ATLANTIC; DISSOLVED SELENIUM; PHYTOPLANKTON; SPECIATION; BEHAVIOR; WATER; REQUIREMENTS; METALLOIDS; ANTIMONY</t>
  </si>
  <si>
    <t>The concentration and chemical speciation of selenium were determined at six vertical profile stations along a 11,000-km-long horizontal transect from 34 degreesS to 8 degreesN in the western Atlantic. The depth profiles of total dissolved selenium, selenite (SeIV), and selenate (VI) all showed surface-water depletion and deepwater enrichment characteristic of the nutrient-like behavior of selenium that has been observed in other ocean basins. In North Atlantic Deep Water, the Se(IV)/Se(VI) ratios were generally similar to those found in the eastern Atlantic and North Pacific (0.7), but waters originating in the higher latitudes of the southern hemisphere, Antarctic Intermediate (AAIW) and Bottom Water, and Upper Circumpolar Deep Water (UCDW), were enriched in selenate and had correspondingly low Se(IV)/Se(VI) ratios (ca. 0.4). In contrast to these inorganic selenium species, organic selenide had maxima in the surface waters of the oligotrophic stations and undetectable concentrations in the mid- and deep waters. One exception to this pattern was found at the southernmost station (33 degreesS) where a secondary organic selenide maximum was found in the AAIW and UCDW (700-1900 m). This observation can be explained by considering the 10-year residence time of organic selenide in the water column and the relatively young age (&lt; 3 yr) of these subducted surface waters. In the surface transect, total dissolved selenium showed only minor variations with oceanic regime (0.55-0.83 nM) except in the offshore plume of the Amazon River, where concentrations dropped as low as 0.19 nM. Organic selenide was the predominant form of dissolved selenium in surface waters (50 +/- 11%), followed by selenate (36 +/- 13%) and then selenite (14 +/- 6%). Cross-flow ultra filtration experiments indicated that surface water dissolved organic selenide is in a &lt; 1-kD fraction and thus truly dissolved. Selenate had higher concentrations in the southern hemisphere (0.24 nM) than in the north (0.17 nM), but the highest value (0.37 nM) was found in the area of weak equatorial upwelling. In contrast, selenite was quite low in the southern hemisphere (0.06 nM) and had its highest concentrations in the equatorial region and under the Intertropical Convergence Zone (0.11 nM). The higher selenite concentrations corresponded to surface waters, which had elevated aluminum levels due to the input of North African dust. While selenium is not enriched in mineral aerosols themselves, air masses from Europe can be entrained in those leaving North Africa, enriching selenium as a consequence. The estimate of atmospheric deposition of selenium to the equatorial Atlantic is ca. 10 x 10(6) mol yr(-1), while relatively low selenium concentrations in the Amazon River (0.48 nM) only deliver ca. 2 x 10(6) mol yr(-1). Atmospheric selenium inputs dominate fluxes to the equatorial Atlantic, but these and Amazonian inputs profoundly affect the distribution and speciation of selenium in this region. (C) 2001 Elsevier Science Ltd. All rights reserved.</t>
  </si>
  <si>
    <t>Old Dominion Univ, Dept Ocean Earth &amp; Atmospher Sci, Norfolk, VA 23529 USA</t>
  </si>
  <si>
    <t>Old Dominion University</t>
  </si>
  <si>
    <t>Cutter, GA (corresponding author), Old Dominion Univ, Dept Ocean Earth &amp; Atmospher Sci, 4600 Elkhorn Ave, Norfolk, VA 23529 USA.</t>
  </si>
  <si>
    <t>Cutter, Gregory/C-7898-2017</t>
  </si>
  <si>
    <t>Cutter, Gregory/0000-0001-6744-6718</t>
  </si>
  <si>
    <t>10.1016/S0967-0645(01)00024-8</t>
  </si>
  <si>
    <t>WOS:000169483800009</t>
  </si>
  <si>
    <t>de Sousa, SN; Sardessai, SD; Babu, VR; Murty, VSN; Gupta, GVM</t>
  </si>
  <si>
    <t>Chemical characteristics of Central Indian Basin waters during the southern summer</t>
  </si>
  <si>
    <t>HYDROGRAPHIC SECTION; DISTRIBUTIONS</t>
  </si>
  <si>
    <t>Chemical properties of the water column were examined at the Indian Deep-sea Environment Experiment (INDEX) site in the Central Indian Basin (CIB), as a part of baseline studies prior to the benthic disturbance experiment for the environmental impact assessment of mining of polymetallic nodules. The study shows three equatorward moving water masses. (a) The Subsurface Salinity Maximum in the depth range 125-200 m, characterized by high salinity (34.74-34.77 psu) and oxygen minimum associated with weak maxima in nutrients. (b) The Deep Oxygen Maximum (234-245 muM) in the depth range 250-750 m, associated with minima in nutrients and relatively high pH. (c) The Salinity Minimum Water (34.714-34.718 psu) corresponding to the Antarctic Intermediate Water (AAIW) at depths 800-1200 m in the density (sigma (theta)) range 27.2-27.5. Progressive changes in these characteristics are attributed to mixing with waters above and below, and to oxidation of organic detritus en route. Among the three water masses, the oxygen maximum water shows the lowest changes in its properties, which may suggest that this water mass is moving the fastest. (C) 2001 Elsevier Science Ltd. All rights reserved.</t>
  </si>
  <si>
    <t>Natl Inst Oceanog, Panaji 403004, Goa, India</t>
  </si>
  <si>
    <t>Council of Scientific &amp; Industrial Research (CSIR) - India; CSIR - National Institute of Oceanography (NIO)</t>
  </si>
  <si>
    <t>Natl Inst Oceanog, Panaji 403004, Goa, India.</t>
  </si>
  <si>
    <t>sndsousa@csnio.ren.nic.in</t>
  </si>
  <si>
    <t>Babu, Ramesh/KGK-7434-2024; G.V.M., Gupta/GNW-6577-2022; GUPTA, GVM/HGF-2266-2022</t>
  </si>
  <si>
    <t>GUPTA, GVM/0000-0003-1437-9034</t>
  </si>
  <si>
    <t>10.1016/S0967-0645(01)00044-3</t>
  </si>
  <si>
    <t>476HF</t>
  </si>
  <si>
    <t>WOS:000171219600004</t>
  </si>
  <si>
    <t>Anderson, RF; Smith, WO</t>
  </si>
  <si>
    <t>The US Southern Ocean Joint Global Ocean Flux Study: Volume two</t>
  </si>
  <si>
    <t>ANTARCTIC POLAR FRONT; PACIFIC SECTOR; ATMOSPHERIC CO2; ORGANIC-CARBON; ROSS SEA; BLOOM; ZONE; PHYTOPLANKTON; 170-DEGREES-W; DYNAMICS</t>
  </si>
  <si>
    <t>This is the second volume of manuscripts comprising results from the process studies in the Southern Ocean conducted by the US Joint Global Ocean Flux Study (US JGOFS). The overall objectives of the study were to better constrain the fluxes of carbon in the Southern Ocean, to identify the factors and processes that regulate the magnitude and variability of primary productivity (as well as the fate of biogenic material), and to gain a sufficient understanding to model past and present carbon fluxes with sufficient accuracy to predict their response to future global changes. Field work was conducted both on the continental shelf of the Ross Sea, and within the Antarctic Circumpolar Current (ACC) near 170 degreesW. Results from both regions described in this volume significantly address the goals and objectives of the entire program. (C) 2001 Elsevier Science Ltd. All rights reserved.</t>
  </si>
  <si>
    <t>Lamont Doherty Earth Observ, Dept Earth &amp; Environm Sci, Palisades, NY 10964 USA; Columbia Univ, Palisades, NY 10964 USA; Virginia Inst Marine Sci, Coll William &amp; Mary, Gloucester Point, VA 23062 USA</t>
  </si>
  <si>
    <t>Columbia University; Columbia University; William &amp; Mary; Virginia Institute of Marine Science</t>
  </si>
  <si>
    <t>Lamont Doherty Earth Observ, Dept Earth &amp; Environm Sci, Palisades, NY 10964 USA.</t>
  </si>
  <si>
    <t>boba@ldeo.columbia.edu</t>
  </si>
  <si>
    <t>Anderson, Robert/0000-0002-8472-2494</t>
  </si>
  <si>
    <t>19-20</t>
  </si>
  <si>
    <t>10.1016/S0967-0645(01)00072-8</t>
  </si>
  <si>
    <t>506DK</t>
  </si>
  <si>
    <t>WOS:000172954400001</t>
  </si>
  <si>
    <t>Abbott, MR; Richman, JG; Nahorniak, JS; Barksdale, BS</t>
  </si>
  <si>
    <t>Meanders in the antarctic polar frontal zone and their impact on phytoplankton</t>
  </si>
  <si>
    <t>SURFACE TEMPERATURE DATA; SOUTHERN-OCEAN; SEA; CHLOROPHYLL; CALIFORNIA; VORTICITY; DRIFTERS; LOCATION; BLOOMS</t>
  </si>
  <si>
    <t>The Antarctic Polar Front is a complex set of meandering jets, which appear to support enhanced primary productivity. The US Joint Global Ocean Flux Study conducted a series of survey and process studies in part to study the processes regulating primary productivity in this high nutrient, low chlorophyll region. We deployed a set of surface velocity drifters, some of which were equipped with bio-optical sensors, to study the temporal and spatial scales of biological and physical processes in the Antarctic Polar Frontal Zone. There were two primary sets of deployments: November 1997 before the spring bloom and January 1998 after the spring bloom. The November deployment revealed a strong spring bloom that lasted about 10 days. In late spring, when incoming solar radiation began to increase, the vertical motions associated with the meanders strongly affected the accumulation of phytoplankton biomass, primarily through their impact on light availability. Weaker meandering was observed in the January deployment, and chlorophyll values remained relatively constant. As the bloom began to decay, it appears that nutrient availability became more important in regulating phytoplankton photosynthesis. Some of the drifters in the November deployment were deployed in coherent clusters, thus allowing us to calculate vertical velocities associated with the meanders. Estimates of fluorescence/chlorophyll suggest that areas of upwelling and downwelling alternately decrease and increase photosynthetic stress, perhaps as a result of changes in the availability of iron or light during the formation of the bloom. (C) 2001 Elsevier Science Ltd. All rights reserved.</t>
  </si>
  <si>
    <t>Oregon State Univ, Coll Ocean &amp; Atmospher Sci, Corvallis, OR 97331 USA</t>
  </si>
  <si>
    <t>Oregon State University</t>
  </si>
  <si>
    <t>Abbott, MR (corresponding author), Oregon State Univ, Coll Ocean &amp; Atmospher Sci, Corvallis, OR 97331 USA.</t>
  </si>
  <si>
    <t>Abbott, Mark R/J-8445-2016</t>
  </si>
  <si>
    <t>10.1016/S0967-0645(01)00073-X</t>
  </si>
  <si>
    <t>WOS:000172954400002</t>
  </si>
  <si>
    <t>Measures, CI; Vink, S</t>
  </si>
  <si>
    <t>Dissolved Fe in the upper waters of the Pacific sector of the Southern Ocean</t>
  </si>
  <si>
    <t>MARINE-PHYTOPLANKTON; SURFACE WATERS; IRON; 170-DEGREES-W; SIDEROPHORE; LIMITATION; IRON(III); MANGANESE; BLOOMS; GROWTH</t>
  </si>
  <si>
    <t>The concentration of dissolved Fe was determined in upper ocean waters along 170 degreesW between 53 and 72 degreesS during four cruises between October 1997 and March 1998 as part of the US-JGOFS Southern Ocean Antarctic Polar Frontal Zone cruises. Fe concentrations were extremely variable in both space and time as a result of advection of meso-scale eddys through the region. Observed values ranged from a maximum of 0.34 nM at 64 degreesS in November next to the retreating ice-edge to 0.075 nM in March at 71 degreesS in the northern Ross Sea gyre. In general, the highest average mixed-layer Fe concentrations and the largest seasonal changes were observed in the two frontal zones at similar to 60 degreesS and similar to 64 degreesS. Formation of deep mixed layers during winter and the entrainment of sub-surface waters enriched in Fe is the primary source of this element to surface waters in this region of the Southern Ocean. Additionally, upwelling of circumpolar deep water in the circumpolar current along its northern boundary at the Polar Front and its southern boundary at the Southern Antarctic Circumpolar Current Front is an important mechanism supplying Fe to surface waters in these areas throughout the summer. Comparison of integrated Fe concentrations and Th-derived POC export and N drawdown all suggest that the maximum changes in these properties are comparable to those that would be predicted by Fe availability. Fe concentrations determined by shipboard Flow Injection Analysis (Measures et al., Mar. Chem. 50 (1995) 3) were significantly higher than those found in replicate samples determined by shored based flameless atomic absorption spectrophotometry after preconcentration by chelation-solvent extraction (Johnson et al., Mar. Chem. 57 (1997) 137). The concentration differences, which appear to be restricted to the upper 200-300 m, do not appear to arise from different sampling or handling processes but instead are believed to result from the different sensitivity of the methods to organic fractions of Fe in seawater. (C) 2001 Elsevier Science Ltd. All rights reserved.</t>
  </si>
  <si>
    <t>Univ Hawaii Manoa, Sch Ocean &amp; Earth Sci &amp; Technol, Dept Oceanog, Honolulu, HI 96822 USA</t>
  </si>
  <si>
    <t>University of Hawaii System; University of Hawaii Manoa</t>
  </si>
  <si>
    <t>Univ Hawaii Manoa, Sch Ocean &amp; Earth Sci &amp; Technol, Dept Oceanog, 1000 Pope Rd, Honolulu, HI 96822 USA.</t>
  </si>
  <si>
    <t>chrism@soest.hawaii.edu</t>
  </si>
  <si>
    <t>Vink, Sue/J-7938-2012</t>
  </si>
  <si>
    <t>Vink, Sue/0000-0002-0303-7699</t>
  </si>
  <si>
    <t>10.1016/S0967-0645(01)00074-1</t>
  </si>
  <si>
    <t>WOS:000172954400003</t>
  </si>
  <si>
    <t>Morrison, JM; Gaurin, S; Codispoti, LA; Takahashi, T; Millero, FJ; Gardner, WD; Richardson, MJ</t>
  </si>
  <si>
    <t>Seasonal evolution of hydrographic properties in the Antarctic circumpolar current at 170°W during 1997-1998</t>
  </si>
  <si>
    <t>ROSS SEA; CARBON; OCEAN; PHYTOPLANKTON; FLUXES; CHLOROPHYLL; IRON; CO2</t>
  </si>
  <si>
    <t>This paper discusses the seasonal evolution of the hydrographic and biogeochemical properties in the Antarctic Circumpolar Current (ACC) during the US Joint Global Ocean Flux (JGOFS) Antarctic Environment and Southern Ocean Process Study (AESOPS) in 1997-1998. The location of the study region south of New Zealand along similar to 170 degreesW was selected based on the zonal orientation and meridional separation of the physical and chemical fronts found in that region. Here we endeavor to describe the seasonal changes of the macronutrients, fluorescence chlorophyll, particulate organic carbon (POC), and carbon dioxide (CO2) in the upper 400 m of the ACC during the evolution of the seasonal phytoplankton bloom found in this area. While the ACC has extreme variability in the meridional sense (due to fronts, etc.), it appears to be actually quite uniform in the zonal sense. This is reflected by the fact that a good deal of the seasonal zonal changes in nutrients distributions at 170 degreesW follow a pattern that reflects what would be expected if the changes are associated with seasonal biological productivity. Also at 170 degreesW, the productivity of the upper waters does not appear to be limited by availability of phosphate or nitrate. While there is a significant decrease (or uptake) of inorganic nitrogen, phosphate and silicate associated with the seasonal phytoplankton bloom, none of the nutrients, except perhaps silicate (north of the silicate front) are actually depleted within the euphotic zone. At the end of the growing season, nutrient concentrations rapidly approached their pre-bloom levels. Inspection of the ratios of apparent nutrient drawdown near 64 degreesS suggests N/P apparent drawdowns to have a ratio of similar to 10 and N/Si apparent drawdowns to have a ratio of &gt;4. These ratios suggest a bloom that was dominated by Fe limited diatoms. In addition, the surface water in the Polar Front (PF) and the Antarctic Zone (AZ) just to the south of the PF take up atmospheric CO2 at a rate 2-3 times as fast as the mean global ocean rate during the summer season but nearly zero during the rest of year. This represents an important process for the transport of atmospheric CO2 into the deep ocean interior. Finally, the net CO2 utilization or the net community production during the 2.5 growing months between the initiation of phytoplankton blooms and mid-January increase southward from 1.5 mol Cm-2 at 55 degreesS to 2.2 mol C m(-2) to 65 degreesS across the Polar Frontal Zone (PFZ) into the AZ. (C) 2001 Elsevier Science Ltd. All rights reserved.</t>
  </si>
  <si>
    <t>N Carolina State Univ, Dept Marine Earth &amp; Atmospher Sci, Raleigh, NC 27695 USA; Univ Maryland, Ctr Environm Studies, Horn Point Lab, Cambridge, MD 21613 USA; Columbia Univ, Lamont Doherty Earth Observ, Palisades, NY 10964 USA; Univ Miami, Rosenstiel Sch Marine &amp; Atmospher Sci, Miami, FL 33149 USA; Texas A&amp;M Univ, Dept Oceanog, College Stn, TX 77843 USA</t>
  </si>
  <si>
    <t>North Carolina State University; University System of Maryland; University of Maryland Center for Environmental Science; Columbia University; University of Miami; Texas A&amp;M University System; Texas A&amp;M University College Station</t>
  </si>
  <si>
    <t>N Carolina State Univ, Dept Marine Earth &amp; Atmospher Sci, Box 8208, Raleigh, NC 27695 USA.</t>
  </si>
  <si>
    <t>john_morrison@ncsu.edu</t>
  </si>
  <si>
    <t>Gardner, Wilford D/E-2579-2012</t>
  </si>
  <si>
    <t>10.1016/S0967-0645(01)00075-3</t>
  </si>
  <si>
    <t>WOS:000172954400004</t>
  </si>
  <si>
    <t>Nelson, DM; Brzezinski, MA; Sigmon, DE; Franck, VM</t>
  </si>
  <si>
    <t>A seasonal progression of Si limitation in the Pacific sector of the Southern Ocean</t>
  </si>
  <si>
    <t>SILICIC-ACID UPTAKE; ROSS SEA; SARGASSO SEA; ANTARCTIC DIATOMS; UPWELLING REGIME; BIOGENIC SILICA; NORTH PACIFIC; ICE-EDGE; IRON; NUTRIENT</t>
  </si>
  <si>
    <t>We conducted kinetic experiments using the radioisotope Si-32 to assess Si limitation in the Pacific sector of the Southern Ocean between 53 degrees and 71 degreesS from early December 1997 through mid March 1998. A diatom bloom developed near the edge of the pack ice in late November or early December and then propagated southward, depleting silicic acid in surface waters from &gt; 45 to &lt;5 muM, and occasionally to &lt;1 muM in an area that extended from similar to 61 degrees to 65 degreesS. We performed kinetic experiments of two kinds: 26 multiple-concentration experiments in which the specific rate of silicic acid uptake (V) was measured as a function of the extracellular silicic acid concentration ([Si(OH)(4)]), and 61 two-concentration experiments in which V was measured only at the ambient concentration ([Si(OH)(4)](a)) and one concentration 30-70 muM above ambient. The rate of Si uptake was almost always limited by [Si(OH)4]a in the Si-depleted waters within the bloom and to its north. In those waters V increased with [Si(OH)(4)] in accordance with the Michaelis-Menten saturation function, and [Si(OH)(4)](a) often limited V to &lt; 40% of its potential maximum (V-max). Si-limiting conditions followed the bloom southward during spring and summer, and extended similar to 500 km south of the Antarctic Polar Front (APF) by late January. Seventeen of the 87 kinetic experiments showed no Si limitation. All but three of those non-limiting sites were in Si-rich waters south of the APF. However, there was occasional, relatively weak limitation of Si uptake even south of the APF at [Si(OH)(4)](a) &gt; 40 muM. This unexpected result was caused by very low affinity for Si uptake (high K-S in the Michaelis-Menten function). Seventy percent of all measured K-S values (49 of 70) were between 0.7 and 10 muM, a range only about twice that reported from elsewhere, but the remaining 21 K-S values ranged from 10.7 to 61 muM. Eleven of these were &gt; 20 muM, which is extraordinarily high in comparison with most values from other oceans. There was no clear tendency for K-S to change with latitude or with [Si(OH)(4)](a), but there was an apparent seasonal progression in which both the highest K-S values and the variability in K-S increased with time. The initial slopes of the kinetic curves, (V-max/K-S, a measure of the ability to exploit low concentrations) for the Southern Ocean diatom assemblages were very low compared to other regions of the ocean. In the Southern Ocean data 52 of 73 initial slopes (71%) are &lt;2 (mM h)(-1) while only one of 37 initial slopes (3%) from other systems is that low. The lowest slopes were observed south of the APF, which may be a consequence of the high silicic acid concentrations that prevail in that region. The ability to compete for silicic acid at low concentrations appears not to impart a significant competitive advantage in the Si-rich system south of the APF. (C) 2001 Elsevier Science Ltd. All rights reserved.</t>
  </si>
  <si>
    <t>Oregon State Univ, Coll Ocean &amp; Atmospher Sci, Corvallis, OR 97331 USA; Univ Calif Santa Barbara, Dept Ecol Evolut &amp; Marine Biol, Santa Barbara, CA 93106 USA</t>
  </si>
  <si>
    <t>Oregon State University; University of California System; University of California Santa Barbara</t>
  </si>
  <si>
    <t>Nelson, DM (corresponding author), Oregon State Univ, Coll Ocean &amp; Atmospher Sci, Corvallis, OR 97331 USA.</t>
  </si>
  <si>
    <t>10.1016/S0967-0645(01)00076-5</t>
  </si>
  <si>
    <t>WOS:000172954400005</t>
  </si>
  <si>
    <t>Brzezinski, MA; Nelson, DM; Franck, VM; Sigmon, DE</t>
  </si>
  <si>
    <t>Silicon dynamics within an intense open-ocean diatom bloom in the Pacific sector of the Southern Ocean</t>
  </si>
  <si>
    <t>BIOGENIC-SILICA; ROSS SEA; EQUATORIAL PACIFIC; ICE EDGE; CONTINENTAL-SHELF; ANTARCTIC OCEAN; WATER-COLUMN; TRACE-METAL; IRON; DISSOLUTION</t>
  </si>
  <si>
    <t>An intense diatom bloom developed within a strong meridional silicic acid gradient across the Antarctic Polar Front at 61 degreesS, 170 degreesW following stratification of the water column in late October/early November 1997. The region of high diatom biomass and the silicic acid gradient propogated southward across the Seasonal Ice Zone through time, with the maximum diatom biomass tracking the center of the silicic acid gradient. High diatom biomass and high rates of silica production persisted within the silicic acid gradient until the end of January 1998 (ca. 70 d) driving the gradient over 500 km to the south of its original position at the Polar Front. The bloom consumed 30 to &gt; 40 muM Si(OH)(4) in the euphotic zone between about 60 and 66 degreesS leaving near surface concentrations &lt;2.5 muM and occasionally &lt;1.0 muM in its wake. Integrated biogenic silica concentrations within the bloom averaged 410 mmol Si m(-2) (range 162-793 mmol Si m(-2)). Average integrated silica production on two consecutive cruises in December 1997 and January 1998 that sampled the bloom while it was well developed were 27.5 +/- 6.9 and 22.6 +/- 20 mmol Si m(-2) d(-1), respectively. Those levels of siliceous biomass and silica production are similar in magnitude to those reported for ice-edge diatom blooms in the Ross Sea, Antarctica, which is considered to be among the most productive regions in the Southern Ocean. Net silica production (production minus dissolution) in surface waters during the bloom was 16-21 mmol Si m(-2) d(-1), which is sufficient for diatom growth to be the cause of the southward displacement of the silicic acid gradient. A strong seasonal change in silica dissolution: silica production rate ratios was observed. Integrated silica dissolution rates in the upper 100-150 m during the low biomass period before stratification averaged 64% of integrated production. During the bloom integrated dissolution rates averaged only 23% of integrated silica production, making 77% of the opal produced available for export to depth. The bloom ended in late January apparently due to a mixing event.Dissolution: production rate ratios increased to an average of 0.67 during that period indicating a return to a predominantly regenerative system. Our observations indicate that high diatom biomass and high silica production rates previously observed in the marginal seas around Antarctica also occur in the deep ocean near the Polar Front. The bloom we observed propagated across the latitudinal band overlying the sedimentary opal belt which encircles most of Antarctica implying a role for such blooms in the formation of those sediments. Comparison of our surface silica production rates with new estimates of opal accumulation rates in the abyssal sediments of the Southern Ocean, which have been corrected for sediment focusing, indicate a burial efficiency of less than or equal to4.6% for biogenic silica. That efficiency is considerably lower than previous estimates for the Southern Ocean. (C) 2001 Elsevier Science Ltd. All rights reserved.</t>
  </si>
  <si>
    <t>Univ Calif Santa Barbara, Dept Ecol Evolut &amp; Marine Biol, Santa Barbara, CA 93106 USA; Univ Calif Santa Barbara, Inst Marine Sci, Santa Barbara, CA 93106 USA; Oregon State Univ, Coll Ocean &amp; Atmospher Sci, Corvallis, OR 97331 USA</t>
  </si>
  <si>
    <t>University of California System; University of California Santa Barbara; University of California System; University of California Santa Barbara; Oregon State University</t>
  </si>
  <si>
    <t>Brzezinski, MA (corresponding author), Univ Calif Santa Barbara, Dept Ecol Evolut &amp; Marine Biol, Santa Barbara, CA 93106 USA.</t>
  </si>
  <si>
    <t>10.1016/S0967-0645(01)00078-9</t>
  </si>
  <si>
    <t>WOS:000172954400006</t>
  </si>
  <si>
    <t>Selph, KE; Landry, MR; Allen, CB; Calbet, A; Christensen, S; Bidigare, RR</t>
  </si>
  <si>
    <t>Microbial community composition and growth dynamics in the Antarctic Polar Front and seasonal ice zone during late spring 1997</t>
  </si>
  <si>
    <t>PHAEOCYSTIS-POUCHETII HAPTOPHYCEAE; SATELLITE OCEAN COLOR; SOUTHERN-OCEAN; COASTAL WATERS; PHYTOPLANKTON COMMUNITY; ATLANTIC SECTOR; GRAZING IMPACT; WEDDELL SEA; EDGE; 170-DEGREES-W</t>
  </si>
  <si>
    <t>The microbial community between the Antarctic Polar Front region (APFr) and the seasonal ice edge at 170 degreesW was examined as part of the US JGOFS AESOPS Process I Study during late spring (December) 1997. Water-mass identities of the sampled stations were determined based on physical properties, with three regions identified: the APFr. the South ACC region (SACCr), and the southern region of the ACC near the ice edge (SACCr-IE). The APFr (60.1-60.5 degreesS) was dominated by centric diatoms, with mixed-layer communities tending toward single genera (i.e., Chaetoceros and Corethron). Stations in the SACCr (61.4-63.0 degreesS) were also characterized by large centric diatoms, but no single genus dominated. In contrast, the SACCr-IE stations (64.1-64.4 degreesS), positioned near the retreating ice edge, were dominated by colony-forming Phaeocystis. A seasonal succession in phytoplankton is proposed, with the youngest communities near the ice edge and the most mature in the polar front region. We found an inverse relationship between chlorophyll a values and phytoplankton growth rates. Phytoplankton growth rates were the highest (up to 1 d(-1)) in the APFr, despite relatively low chlorophyll a values. Microzooplankton grazing accounted for similar to 50% of phytoplankton growth. The SACCr stations had intermediate chlorophyll a concentrations and phytoplankton growth rates (0.5-0.9 d(-1)), with grazing consuming similar to 50-70% of growth. The SACCr-IE stations had the highest chlorophyll a values and the lowest phytoplankton growth rates (0.2 d(-1)) of the transect, while grazing accounted for similar to 70% of growth in the one dilution experiment that gave a significant result. Given these growth and grazing estimates, a higher proportion of production in the northern diatom-dominated regions was available for export than in the Phaeocystis-dominated ice edge stations. However, since microzooplankton produce small fecal debris, the bulk of the consumed production was more likely remineralized in the upper water column. (C) 2001 Elsevier Science Ltd. All rights reserved.</t>
  </si>
  <si>
    <t>Univ Hawaii Manoa, Dept Oceanog, Honolulu, HI 96822 USA; CSIC, Inst Ciencies Mar, E-08039 Barcelona, Spain</t>
  </si>
  <si>
    <t>University of Hawaii System; University of Hawaii Manoa; Consejo Superior de Investigaciones Cientificas (CSIC); CSIC - Centro Mediterraneo de Investigaciones Marinas y Ambientales (CMIMA); CSIC - Instituto de Ciencias del Mar (ICM)</t>
  </si>
  <si>
    <t>Selph, KE (corresponding author), Univ Hawaii Manoa, Dept Oceanog, 1000 Pope Rd, Honolulu, HI 96822 USA.</t>
  </si>
  <si>
    <t>k.selph@soest.hawaii.edu</t>
  </si>
  <si>
    <t>Landry, Michael/HGF-1043-2022; Calbet, Albert/A-7779-2008</t>
  </si>
  <si>
    <t>Calbet, Albert/0000-0003-1069-212X; Selph, Karen/0000-0001-7281-4706</t>
  </si>
  <si>
    <t>10.1016/S0967-0645(01)00077-7</t>
  </si>
  <si>
    <t>WOS:000172954400009</t>
  </si>
  <si>
    <t>Mengelt, C; Abbott, MR; Barth, JA; Letelier, RM; Measures, CI; Vink, S</t>
  </si>
  <si>
    <t>Phytoplankton pigment distribution in relation to silicic acid,, iron and the physical structure across the Antarctic Polar Front, 170°W, during austral summer</t>
  </si>
  <si>
    <t>SOUTHERN-OCEAN; ATMOSPHERIC CO2; PACIFIC SECTOR; CHLOROPHYLL; DYNAMICS; CARBON; BLOOM; ZONE; PRODUCTIVITY; IRRADIANCE</t>
  </si>
  <si>
    <t>In order to study the factors controlling the phytoplankton distribution across the Antarctic Polar Frontal Region (PFR), surface pigment samples were collected during austral summer (January/February 1998) near 170 degreesW. Both the Polar Front (PF) and the Southern Antarctic Circumpolar Current Front (SACCF) were regions of enhanced accumulation of phytoplankton pigments. The mesoscale survey across the PF revealed two distinct phytoplankton assemblages on either side of the front. The phytoplankton community was dominated by diatoms south of the PF and by nanoflagellates (primarily by prymnesiophytes) to the north. Surprisingly, chlorophyll a concentrations did not correlate with mixed-layer depths. However, an increase of the dominance of diatoms over prymnesiophytes was observed with decreasing mixed-layer depths. Despite this relationship, we conclude that the average light availability in the mixed layer was not an important factor influencing the shift in phytoplankton composition across the PF. Although no correlation was found between the surface distribution of the major phytoplankton taxa and dissolved iron or silicic acid concentrations, the location of the strongest vertical gradient in silicic acid and iron concentration coincides with the maximum abundance of diatoms. We conclude that the difference in taxonomic composition is a result of increased silicic acid and iron flux to the upper mixed layer as a result of the increased vertical gradient of these key nutrients south of the front. (C) 2001 Elsevier Science Ltd. All rights reserved.</t>
  </si>
  <si>
    <t>Univ Calif Santa Barbara, Dept Ecol Evolut &amp; Marine Biol, Santa Barbara, CA 93106 USA; Oregon State Univ, Coll Ocean &amp; Atmospher Sci, Corvallis, OR 97331 USA; Univ Hawaii, Dept Oceanog, Honolulu, HI 96822 USA</t>
  </si>
  <si>
    <t>University of California System; University of California Santa Barbara; Oregon State University; University of Hawaii System</t>
  </si>
  <si>
    <t>Univ Calif Santa Barbara, Dept Ecol Evolut &amp; Marine Biol, Santa Barbara, CA 93106 USA.</t>
  </si>
  <si>
    <t>mengelt@lifesci.ucsb.edu</t>
  </si>
  <si>
    <t>Letelier, Ricardo/A-6953-2009; Vink, Sue/J-7938-2012; Abbott, Mark R/J-8445-2016</t>
  </si>
  <si>
    <t>Letelier, Ricardo/0000-0003-3376-4026; Vink, Sue/0000-0002-0303-7699;</t>
  </si>
  <si>
    <t>10.1016/S0967-0645(01)00081-9</t>
  </si>
  <si>
    <t>WOS:000172954400010</t>
  </si>
  <si>
    <t>Dickson, ML; Orchardo, J</t>
  </si>
  <si>
    <t>Oxygen production and respiration in the Antarctic Polar Front region during the austral spring and summer</t>
  </si>
  <si>
    <t>NET COMMUNITY PRODUCTION; ROSS SEA POLYNYA; INORGANIC CARBON; ORGANIC-CARBON; OCEAN; SEAWATER; BALANCE; RATES; CO2; NITROGEN</t>
  </si>
  <si>
    <t>Gross and net O-2 production and dark community respiration rates were measured during austral spring and summer from 53 degreesS to 70 degreesS along 170 degreesW across the Antarctic Polar Front (APF). Integrated production and respiration rates were compared for stations north of the APF (53-59 degreesS), within the front (59-61.5 degreesS) and south of the APF (61.5-71 degreesS). Production and respiration rates in the spring were highest north of the polar front and at the seasonal ice-edge (similar to 65 degreesS) during a phytoplankton bloom. Depth-integrated rates of gross C, net C production and community respiration across the region were 155, 84 and -71 mmol C m(-2) d(-1), respectively. During the austral summer integrated gross O-2 production rates remained high north of the APF and were similar to rates measured there in the spring, but decreased within the front and south of it. Production exceeded respiration north of the APF, but net heterotrophic conditions were observed within and south of the front. Dept h-integrated rates of gross C, net C production and community respiration for the transect were 87, 5 and -37 mmol C m(-2) d(-1). Higher rates of oxygen consumption in the light suggest that phytoplankton respiration may have been a significant sink for gross production in the summer. Net O-2 production estimated from mixed-layer O-2 saturation levels was about a factor of two lower than in vitro bottle incubations and confirmed that respiration slightly exceeded production over much of the region in the summer. (C) 2001 Elsevier Science Ltd. All rights reserved.</t>
  </si>
  <si>
    <t>Univ Rhode Isl, Grad Sch Oceanog, Narragansett, RI 02882 USA; Brown Univ, Dept Geol Sci, Providence, RI 02912 USA</t>
  </si>
  <si>
    <t>University of Rhode Island; Brown University</t>
  </si>
  <si>
    <t>Dickson, ML (corresponding author), Univ Rhode Isl, Grad Sch Oceanog, Narragansett, RI 02882 USA.</t>
  </si>
  <si>
    <t>10.1016/S0967-0645(01)00082-0</t>
  </si>
  <si>
    <t>WOS:000172954400011</t>
  </si>
  <si>
    <t>Kirchman, DL; Meon, B; Ducklow, HW; Carlson, CA; Hansell, DA; Steward, GF</t>
  </si>
  <si>
    <t>Glucose fluxes and concentrations of dissolved combined neutral sugars (polysaccharides) in the Ross Sea and Polar Front Zone, Antarctica</t>
  </si>
  <si>
    <t>ORGANIC-MATTER; BACTERIAL-GROWTH; SARGASSO SEA; NORTH-SEA; CHEMICAL CHARACTERISTICS; FREE MONOSACCHARIDES; PARTICULATE MATERIAL; EQUATORIAL PACIFIC; CARBON; PHYTOPLANKTON</t>
  </si>
  <si>
    <t>We hypothesized that dissolved carbohydrates would be large components of the labile dissolved organic carbon (DOC) pool and would support much bacterial growth in Antarctic waters, especially the Ross Sea, since previous work had observed extensive phytoplankton blooms with potentially high production rates of carbohydrates in Antarctic seas. These hypotheses were tested on cruises in the Ross Sea and Antarctic Polar Front Zone as part of the US JGOFS program. Concentrations and fluxes of free glucose (the only free sugar detected) were very low, but dissolved polysaccharides appeared to be important components of the DOC pool. Concentrations of dissolved combined neutral sugars increased &gt;3-fold during the phytoplankton bloom in the Ross Sea and were a large fraction (ca. 50%) of the semi-labile fraction of DOC. The relatively high concentrations of dissolved combined neutral sugars., which are thought to be quite labile, appear to explain why DOC accumulated during the phytoplankton bloom was degraded so quickly once the bloom ended. Some of the polysaccharides appeared to be more refractory, however, since dissolved combined neutral sugars were observed in deep waters (&gt; 550 m) and in early spring (October) in the Ross Sea, apparently having survived degradation for &gt;8 months. The molecular composition of these refractory polysaccharides differed from that of polysaccharides sampled during the phytoplankton bloom. Fluxes of DOC were low in the Ross Sea compared to standing stocks and fluxes of particulate material, but the DOC that did accumulate during the phytoplankton bloom appeared to be sugar-rich and relatively labile. (C) 2001 Published by Elsevier Science Ltd.</t>
  </si>
  <si>
    <t>Univ Delaware, Coll Marine Studies, Lewes, DE 19958 USA; Coll William &amp; Mary, Sch Marine Sci, Gloucester Point, VA 23062 USA; Bermuda Biol Stn Res Inc, GE-01 St Georges, Bermuda; Ocean Sci, Santa Cruz, CA 95064 USA</t>
  </si>
  <si>
    <t>University of Delaware; William &amp; Mary</t>
  </si>
  <si>
    <t>Kirchman, DL (corresponding author), Univ Delaware, Coll Marine Studies, 700 Pilottown Rd, Lewes, DE 19958 USA.</t>
  </si>
  <si>
    <t>Hansell, Dennis A./AAC-1271-2019; Steward, Grieg/D-9768-2011</t>
  </si>
  <si>
    <t>Hansell, Dennis A./0000-0001-9275-3445; Steward, Grieg/0000-0001-5988-0522</t>
  </si>
  <si>
    <t>10.1016/S0967-0645(01)00085-6</t>
  </si>
  <si>
    <t>WOS:000172954400014</t>
  </si>
  <si>
    <t>Urban-Rich, J; Dagg, M; Peterson, J</t>
  </si>
  <si>
    <t>Copepod grazing on phytoplankton in the Pacific sector of the Antarctic Polar Front</t>
  </si>
  <si>
    <t>SOUTH GEORGIA; VERTICAL MIGRATION; CALANOIDES-ACUTUS; EUPHAUSIA-SUPERBA; ATLANTIC SECTOR; PIGMENT DESTRUCTION; FEEDING SELECTIVITY; CALANUS-PROPINQUUS; GUT CLEARANCE; WEDDELL SEA</t>
  </si>
  <si>
    <t>Mesozooplankton abundance, community structure and copepod grazing on phytoplankton were examined during the austral spring 1997 and summer 1998 as part of the US JGOFS project in the Pacific sector of the Antarctic polar front. Mesozooplankton abundance and biomass were highest at the polar front and south of the front. Biomass increased by 1.5-2-times during the course of the study. Calanoides acutus, Calanus propinquus, C. simillimus, Rhincalanus gigas and Neocalanus tonsus were the dominant large copepods found in the study. Oithona spp and pteropods were numerically important components of the zooplankton community. The copepod and juvenile krill community consumed 1-7% of the daily chlorophyll standing stock, equivalent to 3-21% of the daily phytoplankton production. There was an increased grazing pressure at night due to both increased gut pigment concentrations as well as increases in zooplankton numbers. Phytoplankton carbon contributed a significant fraction (&gt; 50%) of the dietary carbon for the copepods during spring and summer. The relative importance of phytoplankton carbon to the diet increased south of the polar front, suggested that grazing by copepods could be important to organic carbon and biogenic silica flux south of the polar front. (C) 2001 Published by Elsevier Science Ltd.</t>
  </si>
  <si>
    <t>Louisiana Univ Marine Consortium, Chauvin, LA 70344 USA</t>
  </si>
  <si>
    <t>Univ Massachusetts, ECOS, 100 Morrissey Bldg, Boston, MA 02125 USA.</t>
  </si>
  <si>
    <t>juanita.urban-rich@umb.edu</t>
  </si>
  <si>
    <t>10.1016/S0967-0645(01)00087-X</t>
  </si>
  <si>
    <t>WOS:000172954400016</t>
  </si>
  <si>
    <t>Altabet, MA; Francois, R</t>
  </si>
  <si>
    <t>Nitrogen isotope biogeochemistry of the antarctic polar frontal zone at 170°W</t>
  </si>
  <si>
    <t>PARTICULATE ORGANIC-MATTER; N-15 NATURAL ABUNDANCE; SOUTHERN-OCEAN; NUTRIENT UTILIZATION; EQUATORIAL PACIFIC; ATMOSPHERIC CO2; NITRATE UTILIZATION; SINKING PARTICLES; SURFACE WATERS; MARINE DIATOMS</t>
  </si>
  <si>
    <t>During the US JGOFS AESOPS project, an intensive study was conducted of the nitrogen isotope biogeochemistry of the polar frontal region south of New Zealand and north of the Ross Sea. Repeated cruises and crossings of the study area permitted observation of the seasonal drawdown of NO3- and corresponding increases in delta (NO3-)-N-15 due to isotopic fractionation during phytoplankton uptake. Moored sediment traps placed at four locations crossing the polar front between 57 degrees and 66 degreesS provided a well-resolved time-series for both sinking particle flux and delta N-15 for comparison to water column results. Summertime increases in near-surface delta (NO3-)-N-15 at each site ranged from 1.2 parts per thousand to 2.8 parts per thousand and corresponded to reductions in surface [NO3-] of 16% to 37%. Both seasonal variations in delta (NO3)-N-15 as well as summertime vertical variations in the upper 100 m were used to estimate the fractionation factor (epsilon). epsilon ranged between 6 parts per thousand and 8 parts per thousand assuming closed system dynamics and 7 parts per thousand to 10 parts per thousand assuming open system dynamics. The lower range more likely reflects actual values for epsilon since NO3- drawdown is closely associated with stratification of the upper water column and is similar to recent estimates for this region. Sinking particle delta N-15 varied with particle flux and ranged from -1 parts per thousand to 5 parts per thousand. Average delta N-15 weighted by N fluxes were skewed toward summertime values, between -0.1 parts per thousand and 1.7 parts per thousand. To compare with theoretical expectations, differences between average trap delta N-15 and the delta N-15 of NO3- prior to depletion (Delta delta N-15) were calculated for each site. Observed Delta delta N-15 vs. relative surface NO3- utilization (u) for the four sites studied plotted at the upper envelope of the theoretical relationships for both closed and open system equations using observed ranges in epsilon. The nitrogen isotopic signal transmitted to the sediments is quantitatively consistent with the degree of NO3- depletion in Southern Ocean waters. This comparison was also relatively insensitive to choice of open- or closed-system models due to the relative low values of u (0.2-0.4). These results validate previous interpretations of downcore delta N-15 in the polar Southern Ocean as evidence for a large increase in relative nutrient utilization during the last glacial maximum. (C) 2001 Elsevier Science Ltd. All rights reserved.</t>
  </si>
  <si>
    <t>Univ Massachusetts, Dept Chem &amp; Biochem, Sch Marine Sci &amp; Technol, New Bedford, MA 02744 USA; Woods Hole Oceanog Inst, Dept Marine Chem &amp; Geochem, Woods Hole, MA 02543 USA</t>
  </si>
  <si>
    <t>University of Massachusetts System; Woods Hole Oceanographic Institution</t>
  </si>
  <si>
    <t>Altabet, MA (corresponding author), Univ Massachusetts, Dept Chem &amp; Biochem, Sch Marine Sci &amp; Technol, 706 S Rodney French Blvd, New Bedford, MA 02744 USA.</t>
  </si>
  <si>
    <t>10.1016/S0967-0645(01)00088-1</t>
  </si>
  <si>
    <t>WOS:000172954400017</t>
  </si>
  <si>
    <t>Buesseler, KO; Ball, L; Andrews, J; Cochran, JK; Hirschberg, DJ; Bacon, MP; Fleer, A; Brzezinski, M</t>
  </si>
  <si>
    <t>Upper ocean export of particulate organic carbon and biogenic silica in the Southern Ocean along 170°W</t>
  </si>
  <si>
    <t>CENTRAL EQUATORIAL PACIFIC; ROSS SEA; THORIUM ISOTOPES; SEDIMENT TRAPS; NORTH-ATLANTIC; SMALL-VOLUME; TH-234; SEAWATER; SECTOR; FLUXES</t>
  </si>
  <si>
    <t>Upper-ocean fluxes of particulate organic carbon (POC) and biogenic silica (bSi) are calculated from four US JGOFS cruises along 170 degreesW using a thorium-234 based approach. Both POC and bSi fluxes exhibit large variability vs. latitude during the seasonal progression of diatom dominated blooms. POC fluxes at 100 m of up to 50 mmol C m(-2) d(-1) are found late in the bloom. and farthest south near the Ross Sea Gyre. Biogenic Si fluxes also peak late in the bloom as high as 15 mmol Si m(-2) d(-1), but this flux peak occurs at a different latitude, just south of the Antarctic Polar Front (APF), which is centered around 60 degreesS along this cruise track. The ratios of both POC and bSi export relative to their production rates are large, suggesting an efficient biological pump at these latitudes. The highest relative bSi/POC flux ratios at 100 m are found just south of the APF, coincident with a bSi//POC flux peak seen in 1000 m traps during this same program by Deep-Sea Research II (Honjo et al., Deep-Sea Research II 47, 3521-3548). These data suggest that efficient export at these latitudes can support the high accumulation rates of bSi found in the sediments under and south of the APF, despite the generally low biomass and productivity levels in this region. (C) 2001 Elsevier Science Ltd. All rights reserved.</t>
  </si>
  <si>
    <t>Woods Hole Oceanog Inst, Dept Marine Chem &amp; Geochem, Woods Hole, MA 02543 USA; SUNY Stony Brook, Marine Sci Res Ctr, Stony Brook, NY 11794 USA; Univ Calif Santa Barbara, Dept Ecol Evolut &amp; Marine Biol, Santa Barbara, CA 93106 USA</t>
  </si>
  <si>
    <t>Woods Hole Oceanographic Institution; State University of New York (SUNY) System; State University of New York (SUNY) Stony Brook; University of California System; University of California Santa Barbara</t>
  </si>
  <si>
    <t>Buesseler, KO (corresponding author), Woods Hole Oceanog Inst, Dept Marine Chem &amp; Geochem, Clark Bldg 447, Woods Hole, MA 02543 USA.</t>
  </si>
  <si>
    <t>kbuesseler@whoi.edu</t>
  </si>
  <si>
    <t>10.1016/S0967-0645(01)00089-3</t>
  </si>
  <si>
    <t>WOS:000172954400018</t>
  </si>
  <si>
    <t>Sayles, FL; Martin, WR; Chase, Z; Anderson, RF</t>
  </si>
  <si>
    <t>Benthic remineralization and burial of biogenic SiO2, CaCO3, organic carbon, and detrital material in the Southern Ocean along a transect at 170° West</t>
  </si>
  <si>
    <t>SEDIMENT-WATER INTERFACE; DEEP-SEA SEDIMENTS; ANTARCTIC CIRCUMPOLAR CURRENT; MARINE PORE WATERS; TIME-SERIES SITE; EQUATORIAL PACIFIC; PARTICLE-FLUX; INTERSTITIAL WATERS; SILICA DISSOLUTION; SOUTHWEST PACIFIC</t>
  </si>
  <si>
    <t>We investigated the composition, recycling, and mass accumulation rates of sediments along a transect in the Southern Ocean located from 66 degreesS to 57 degreesS at 170 degreesW. This transect also corresponds to the location of a sediment trap mooring line. The sediments at the seven sites studied range from largely terrigenous material to nearly pure (&gt; 90%) biogenic silica. CaCO3 is a minor but persistent component at most sites. Mass accumulation rates have been determined on the basis of excess Th-230 in the sediments, i.e., Th-230-normalized accumulation rates. The influence of redistribution of sediments on the sea floor has been estimated from C-14 analyses. The recycling of material delivered to the sediments has been characterized on the basis of pore water studies that make extensive use of both in situ sampling and shipboard extractions. The influence of the highly variable rates of input of particulate matter that characterize much of the Southern Ocean upon pore water gradients and fluxes across the sediment water interface has been considered. We find only poor correspondence between BSiO2 burial fraction (=burial/particulate flux), a quantifiable measure of preservation efficiency, and BSiO2 particulate rain along the transect. However, preservation does appear to be closely linked to a combination of sedimentation rate and particulate rain. The burial fraction of BSiO2 is small relative to benthic rain (5-19%). Despite the small fraction buried, burial flux normalized to (sedimentation rate)(1,2) appears to provide a very consistent means of predicting benthic particulate rain over a large range of rain rates, including data from a number of different studies and environments. At sites with BSiO2 rain greater than or equal to 250 mmol m(-2) yr(-1) the average difference between predicted and observed rain is 25-30%. Such rain rates occur in many marine areas, particularly the Southern Ocean, with the result that this relationship potentially provides za means of estimating BSiO2 benthic rain over prolonged periods in the past on the basis of readily measured sediment parameters.</t>
  </si>
  <si>
    <t>Woods Hole Oceanog Inst, Dept Marine Chem &amp; Geochem, Woods Hole, MA 02543 USA; Columbia Univ, Lamont Doherty Earth Observ, Palisades, NY 10964 USA</t>
  </si>
  <si>
    <t>Woods Hole Oceanographic Institution; Columbia University</t>
  </si>
  <si>
    <t>Sayles, FL (corresponding author), Woods Hole Oceanog Inst, Dept Marine Chem &amp; Geochem, Woods Hole, MA 02543 USA.</t>
  </si>
  <si>
    <t>Chase, Zanna/E-9232-2013</t>
  </si>
  <si>
    <t>Chase, Zanna/0000-0001-5060-779X; Anderson, Robert/0000-0002-8472-2494; Che, Yangli/0000-0001-7795-5487</t>
  </si>
  <si>
    <t>10.1016/S0967-0645(01)00091-1</t>
  </si>
  <si>
    <t>WOS:000172954400020</t>
  </si>
  <si>
    <t>Aguilar, E; Brunet, M</t>
  </si>
  <si>
    <t>India, MB; Bonillo, DL</t>
  </si>
  <si>
    <t>Seasonal patterns of air surface temperature and pressure change in different regions of Antarctica</t>
  </si>
  <si>
    <t>DETECTING AND MODELLING REGIONAL CLIMATE CHANGE</t>
  </si>
  <si>
    <t>International Scientific Meeting on the Detection and Modelling of Recent Climate Change and its Effects on a Regional Scale</t>
  </si>
  <si>
    <t>MAY, 2000</t>
  </si>
  <si>
    <t>TARRAGONA, SPAIN</t>
  </si>
  <si>
    <t>SEMIANNUAL OSCILLATION; CLIMATE VARIABILITY; SOUTHERN-OCEAN; CIRCULATION</t>
  </si>
  <si>
    <t>In the context of global warming, increases in Antarctic surface air temperatures are expected, and have been found to be larger than in lower latitudes, both from modelling experiments and analysis of instrumental records. Nevertheless, Antarctic warming has not been evenly spread through the seasons or regionally. In this paper, we identify different regional responses to changes in temperature and pressure through the comparison of daily air surface temperature and pressure for two periods 1957-1973 (P1) and 1979-1995 (P2) for four Antarctic Stations (Faraday, Mawson, Halley and South Pole). These stations are characterised. respectively with Antarctic Oceanic Climate, Ice Shelf Climate, Antarctic Katabatic Climate and Cold Continental Climate of the Eastern Plateau, four of the eight climatic types described for Antarctica by a multivariate analysis of the output of NCEP/NCAR Reanalyses (Aguilar, 2000). Dramatic differences are found in the evolution of air temperatures and air pressures at these meteorological stations and, by extension, in their climatic regions. The Antarctic Western Coast (here studied through Faraday and Halley stations) shows a strong and significant warming in winter and summer and no increases in the transition seasons. In contrast, the Antarctic Eastern Coast and the Antarctic Eastern Plateau (here represented by Mawson and South Pole respectively) show a slight but significant cooling, centred on the early winter period. The close relationship of variations in air temperature to changes in air pressure suggests a key role is played by changes in atmospheric circulation and induced effects like modification of sea-ice extents. An uneven response in temperature variations is evident, heavily dependent on regional topography and the different seasons of the year.</t>
  </si>
  <si>
    <t>Univ Rovira &amp; Virgili, Climate Change Res Grp, Tarragona 43071, Spain</t>
  </si>
  <si>
    <t>Universitat Rovira i Virgili</t>
  </si>
  <si>
    <t>Aguilar, E (corresponding author), Univ Rovira &amp; Virgili, Climate Change Res Grp, Plaza Imperial Tarraco 1, Tarragona 43071, Spain.</t>
  </si>
  <si>
    <t>Brunet-India, Manola C/E-8239-2010; Aguilar, Enric/L-4971-2014</t>
  </si>
  <si>
    <t>SPRINGER-VERLAG BERLIN</t>
  </si>
  <si>
    <t>BERLIN</t>
  </si>
  <si>
    <t>HEIDELBERGER PLATZ 3, D-14197 BERLIN, GERMANY</t>
  </si>
  <si>
    <t>3-540-42239-0</t>
  </si>
  <si>
    <t>Geography, Physical; Meteorology &amp; Atmospheric Sciences</t>
  </si>
  <si>
    <t>Physical Geography; Meteorology &amp; Atmospheric Sciences</t>
  </si>
  <si>
    <t>BT53J</t>
  </si>
  <si>
    <t>WOS:000173272300019</t>
  </si>
  <si>
    <t>Phan, TD; Freeman, MP; Kistler, LM; Klecker, B; Haerendel, G; Paschmann, G; Sonnerup, BUÖ; Baumjohann, W; Bavassano-Cattaneo, MB; Carlson, CW; DiLellis, AM; Fornacon, KH; Frank, LA; Fujimoto, M; Georgescu, E; Kokubun, S; Moebius, E; Mukai, T; Paterson, WR; Reme, H</t>
  </si>
  <si>
    <t>Evidence for an extended reconnection line at the dayside magnetopause</t>
  </si>
  <si>
    <t>EARTH PLANETS AND SPACE</t>
  </si>
  <si>
    <t>Article; Proceedings Paper</t>
  </si>
  <si>
    <t>Symposium on Magnetic Reconnection in Space and Laboratory Plasmas</t>
  </si>
  <si>
    <t>FEB 29-MAR 04, 2000</t>
  </si>
  <si>
    <t>UNIV TOKYO, TOKYO, JAPAN</t>
  </si>
  <si>
    <t>UNIV TOKYO</t>
  </si>
  <si>
    <t>MAGNETIC-FIELD EXPERIMENT; EARTHS MAGNETOPAUSE; EXPERIMENT ONBOARD; PLASMA; JETS; SUPERDARN; CUSP; SUN</t>
  </si>
  <si>
    <t>We report in-situ detection by two spacecraft of oppositely directed jets of plasma emanating from a magnetic reconnection site at the Earth's dayside magnetopause, confirming a key element inherent in all reconnection scenarios. The dual-spacecraft (Equator-S and Geotail) observations at the flank magnetopause, together with SuperDARN Halley radar observations of the subsolar cusp region, reveal the presence of a rather stable and extended reconnection line which lies along the equatorial magnetopause. These observations were made under persistent southward interplanetary magnetic field (IMF) conditions, implying that under these conditions the reconnection sites are determined by the large-scale interactions between the solar wind magnetic field and the dayside magnetosphere, rather than by local conditions at the magnetopause. Control by local conditions would result in patchy reconnection, distributed in a less well-organized fashion over the magnetopause surface.</t>
  </si>
  <si>
    <t>Univ Calif Berkeley, Space Sci Lab, Berkeley, CA 94720 USA; British Antarctic Survey, Cambridge CB3 OET, England; Univ New Hampshire, Ctr Space Sci, Durham, NH 03824 USA; Max Planck Inst Extraterr Phys, D-85740 Garching, Germany; Dartmouth Coll, Thayer Sch Engn, Hanover, NH 03755 USA; CNR, IFSI, I-00133 Rome, Italy; Tech Univ Carolo Wilhelmina Braunschweig, D-38106 Braunschweig, Germany; Univ Iowa, Dept Phys &amp; Astron, Iowa City, IA 52242 USA; Tokyo Inst Technol, Dept Earth &amp; Planetary Sci, Meguro 1528551, Japan; Inst Space Sci, Bucharest, Romania; Nagoya Univ, Solar Terr Environm Lab, Aichi 4428507, Japan; Inst Space &amp; Astronaut Sci, Kanagawa 2298510, Japan; Univ Toulouse 3, Ctr Etud Spatiale Rayonnements, F-31062 Toulouse, France</t>
  </si>
  <si>
    <t>University of California System; University of California Berkeley; UK Research &amp; Innovation (UKRI); Natural Environment Research Council (NERC); NERC British Antarctic Survey; University System Of New Hampshire; University of New Hampshire; Max Planck Society; Dartmouth College; Consiglio Nazionale delle Ricerche (CNR); Istituto Nazionale Astrofisica (INAF); Braunschweig University of Technology; University of Iowa; Tokyo Institute of Technology; Institute of Space Science; Nagoya University; Japan Aerospace Exploration Agency (JAXA); Institute of Space &amp; Astronautical Science (ISAS); Universite de Toulouse; Universite Toulouse III - Paul Sabatier</t>
  </si>
  <si>
    <t>Phan, TD (corresponding author), Univ Calif Berkeley, Space Sci Lab, Berkeley, CA 94720 USA.</t>
  </si>
  <si>
    <t>Mukai, Toshifumi/ABD-3297-2021; Paterson, William R/F-5684-2012; Baumjohann, Wolfgang/A-1012-2010; Freeman, Mervyn/E-5687-2019</t>
  </si>
  <si>
    <t>Baumjohann, Wolfgang/0000-0001-6271-0110; Moebius, Eberhard/0000-0002-2745-6978; Freeman, Mervyn/0000-0002-8653-8279</t>
  </si>
  <si>
    <t>TERRA SCIENTIFIC PUBL CO</t>
  </si>
  <si>
    <t>TOKYO</t>
  </si>
  <si>
    <t>2003 SANSEI JIYUGAOKA HAIMU, 5-27-19 OKUSAWA, SETAGAYA-KU, TOKYO, 158, JAPAN</t>
  </si>
  <si>
    <t>1343-8832</t>
  </si>
  <si>
    <t>EARTH PLANETS SPACE</t>
  </si>
  <si>
    <t>Earth Planets Space</t>
  </si>
  <si>
    <t>10.1186/BF03353281</t>
  </si>
  <si>
    <t>Geosciences, Multidisciplinary</t>
  </si>
  <si>
    <t>Conference Proceedings Citation Index - Science (CPCI-S); Science Citation Index Expanded (SCI-EXPANDED)</t>
  </si>
  <si>
    <t>Geology</t>
  </si>
  <si>
    <t>459FB</t>
  </si>
  <si>
    <t>gold</t>
  </si>
  <si>
    <t>WOS:000170239400033</t>
  </si>
  <si>
    <t>Sewell, MA; Manahan, DT</t>
  </si>
  <si>
    <t>Barker, M</t>
  </si>
  <si>
    <t>Echinoderm eggs: Biochemistry and larval biology</t>
  </si>
  <si>
    <t>ECHINODERMS 2000</t>
  </si>
  <si>
    <t>10th International Echinoderm Conference (IEC)</t>
  </si>
  <si>
    <t>JAN 31-FEB 04, 2000</t>
  </si>
  <si>
    <t>UNIV OTAGO, DUNEDIN, NEW ZEALAND</t>
  </si>
  <si>
    <t>UNIV OTAGO</t>
  </si>
  <si>
    <t>SEA-URCHIN; SIZE; INVESTMENT; EMBRYOS</t>
  </si>
  <si>
    <t>Previous studies on the biochemistry of echinoderm eggs have concentrated on species from temperate and tropical waters, with the exception of a large data set from Antarctic brooders (Jaeckle 1995). In this study we added biochemical data from two Antarctic planktotrophs, Odontaster validus and Sterechinus neumayeri, and additional data published since Jaeckle (1995). The addition of 12 species from a range of habitats did not alter the previously published relationships between egg volume and biochemical content. We suggest that future research should focus on classes and/or habitats under-represented in these data sets, particularly the ophiuroids and holothuroids, and on species from the deep sea. Additionally, vie need to develop a better understanding of how lipid and protein reserves are used during development in a range of species representing all the echinoderm classes.</t>
  </si>
  <si>
    <t>Univ So Calif, Dept Biol Sci, Los Angeles, CA 90089 USA</t>
  </si>
  <si>
    <t>University of Southern California</t>
  </si>
  <si>
    <t>Sewell, MA (corresponding author), Univ So Calif, Dept Biol Sci, Los Angeles, CA 90089 USA.</t>
  </si>
  <si>
    <t>m.sewell@auckland.ac.nz</t>
  </si>
  <si>
    <t>Sewell, Mary A/C-9017-2009</t>
  </si>
  <si>
    <t>Sewell, Mary A/0000-0002-1595-7951</t>
  </si>
  <si>
    <t>90-5809-189-9</t>
  </si>
  <si>
    <t>Ecology; Marine &amp; Freshwater Biology</t>
  </si>
  <si>
    <t>Environmental Sciences &amp; Ecology; Marine &amp; Freshwater Biology</t>
  </si>
  <si>
    <t>BT77P</t>
  </si>
  <si>
    <t>WOS:000173978000013</t>
  </si>
  <si>
    <t>Marc, E; Améziane, N</t>
  </si>
  <si>
    <t>Antarctic comatulid crinoids (Echinodermata)</t>
  </si>
  <si>
    <t>Nat Hist Museum, Lab Biol Invertebres Marins &amp; Malacol, Paris, France</t>
  </si>
  <si>
    <t>Museum National d'Histoire Naturelle (MNHN)</t>
  </si>
  <si>
    <t>Marc, E (corresponding author), Nat Hist Museum, Lab Biol Invertebres Marins &amp; Malacol, Paris, France.</t>
  </si>
  <si>
    <t>WOS:000173978000030</t>
  </si>
  <si>
    <t>David, B; Choné, T; Festeau, A; De Ridder, C</t>
  </si>
  <si>
    <t>Antarctic echinoids:: An interactive database on CDROM</t>
  </si>
  <si>
    <t>Antarctic echinoids is an interactive database synthesizing the results of more than 100 years of Antarctic expeditions. It comprises information about 81 echinoid species present southward of the Antarctic convergence. It includes illustrated keys for determination of the species, and information about their morphology and ecology (text, illustrations, and glossary), their distribution (maps and histograms of bathymetrical distribution); the sources of the information (bibliography, collections and expeditions) are also provided. All those data (taxonomic, morphologic, geographic, bathymetric...) can be interactively queried in two main ways. (i) Browsing through sorted lists on the screen or print-outs. (ii) Process interactive requests joining the different kinds of data. Many other possibilities are offered, and an on-line help facility is available.</t>
  </si>
  <si>
    <t>Univ Bourgogne, Dijon, France</t>
  </si>
  <si>
    <t>Universite de Bourgogne</t>
  </si>
  <si>
    <t>David, B (corresponding author), Univ Bourgogne, Dijon, France.</t>
  </si>
  <si>
    <t>bruno.david@u-bourgogne.fr; cridder@ulb.ac.be</t>
  </si>
  <si>
    <t>WOS:000173978000118</t>
  </si>
  <si>
    <t>Stewart, B; Stokes, D</t>
  </si>
  <si>
    <t>Effect of ultra-violet light on gastrulation in the Antarctic sea urchin Sterechinus neumayeri</t>
  </si>
  <si>
    <t>Univ Otago, Dept Marine Sci, Dunedin, New Zealand</t>
  </si>
  <si>
    <t>University of Otago</t>
  </si>
  <si>
    <t>Stewart, B (corresponding author), Univ Otago, Dept Marine Sci, Dunedin, New Zealand.</t>
  </si>
  <si>
    <t>WOS:000173978000148</t>
  </si>
  <si>
    <t>Rowland, FS</t>
  </si>
  <si>
    <t>Atmospheric changes caused by human activities: From science to regulation</t>
  </si>
  <si>
    <t>ECOLOGY LAW QUARTERLY</t>
  </si>
  <si>
    <t>ANTARCTIC SPRING STRATOSPHERE; CARBON-DIOXIDE; TROPOSPHERIC OZONE; CHLORINE MONOXIDE; SURFACE OZONE; LOW ALTITUDES; TEMPERATURE; INCREASE; METHANE; AIR</t>
  </si>
  <si>
    <t>Human activities are steadily changing the trace gas composition of the Earth's atmosphere. Synthetic chlorofluorocarbon compounds eventually decompose in the stratosphere, releasing ozone-depleting chlorine atoms. The 1987 Montreal Protocol has controlled the further atmospheric release of CFCs, but depleted ozone levels will persist throughout the twenty-first century. Accumulation of carbon dioxide, methane, and other greenhouse gases impedes the escape of terrestrial infrared radiation, causing a warming of Earth's surface. The release in urban environments of hydrocarbons and nitrogen oxides, usually from automobiles, creates smog. Emission regulations for greenhouse gases and smog will be major problems in the twenty-first century.</t>
  </si>
  <si>
    <t>Univ Calif Irvine, Irvine, CA 92717 USA; Natl Acad Sci, Washington, DC 20418 USA</t>
  </si>
  <si>
    <t>University of California System; University of California Irvine; National Academies of Sciences, Engineering &amp; Medicine</t>
  </si>
  <si>
    <t>Univ Calif Irvine, Irvine, CA 92717 USA.</t>
  </si>
  <si>
    <t>UNIV CALIFORNIA, BERKELEY SCH LAW</t>
  </si>
  <si>
    <t>BERKELEY</t>
  </si>
  <si>
    <t>BOAT HALL, 588 SIMON HALL, BERKELEY, CA 94720-7200 USA</t>
  </si>
  <si>
    <t>0046-1121</t>
  </si>
  <si>
    <t>ECOL LAW QUART</t>
  </si>
  <si>
    <t>Ecol. Law Q.</t>
  </si>
  <si>
    <t>Environmental Studies; Law</t>
  </si>
  <si>
    <t>Social Science Citation Index (SSCI)</t>
  </si>
  <si>
    <t>Environmental Sciences &amp; Ecology; Government &amp; Law</t>
  </si>
  <si>
    <t>429FX</t>
  </si>
  <si>
    <t>WOS:000168506300015</t>
  </si>
  <si>
    <t>van den Hoff, J</t>
  </si>
  <si>
    <t>Further observations on the cephalopod diet of Wandering Albatrosses (Diomedea exulans L.) at Macquarie Island</t>
  </si>
  <si>
    <t>EMU</t>
  </si>
  <si>
    <t>FEEDING ECOLOGY; CHRYSOSTOMA; SQUIDS; REGION</t>
  </si>
  <si>
    <t>I found 18 cephalopod species, identified from their lower beaks, in stomachs and nest materials of Wandering Albatrosses (Diomedea exulans) at Macquarie Island during the 1970s. Squid occurred in all samples, no fish remains were found. Species of cephalopod that dominated a previous study were also found in this study. I report four species of cephalopod not previously recorded in the diet of Wandering Albatrosses at Macquarie Island: Pholidoteuthis boschmai, Brachioteuthis picta and two Chiroteuthis species. Beaks from smaller squid species may have been ingested secondarily by adult albatross and passed on to their chicks.</t>
  </si>
  <si>
    <t>Australian Antarctic Div, Biol Sect, Kingston, Tas 7050, Australia</t>
  </si>
  <si>
    <t>Australian Antarctic Division</t>
  </si>
  <si>
    <t>van den Hoff, J (corresponding author), Australian Antarctic Div, Biol Sect, Channel Highway, Kingston, Tas 7050, Australia.</t>
  </si>
  <si>
    <t>C S I R O PUBLISHING</t>
  </si>
  <si>
    <t>COLLINGWOOD</t>
  </si>
  <si>
    <t>150 OXFORD ST, PO BOX 1139, COLLINGWOOD, VICTORIA 3066, AUSTRALIA</t>
  </si>
  <si>
    <t>0158-4197</t>
  </si>
  <si>
    <t>Emu</t>
  </si>
  <si>
    <t>10.1071/MU00017</t>
  </si>
  <si>
    <t>Ornithology</t>
  </si>
  <si>
    <t>444AV</t>
  </si>
  <si>
    <t>WOS:000169376500012</t>
  </si>
  <si>
    <t>Moore, PJ; Burg, TM; Taylor, GA; Millar, CD</t>
  </si>
  <si>
    <t>Provenance and sex ratio of Black-browed Albatross, Thalassarche melanophrys, breeding on Campbell Island, New Zealand</t>
  </si>
  <si>
    <t>POPULATION-DYNAMICS; WANDERING ALBATROSS; DIOMEDEA-EXULANS; BIRDS; DNA; IDENTIFICATION; IMPAVIDA; REGION</t>
  </si>
  <si>
    <t>Small numbers of Black-browed Albatross, Thalassarche melanophrys, breed on Campbell Island, New Zealand. Their dark brown irises had previously been used to distinguish them from the more numerous Campbell Albatross, T. impavida,which has light irises. Blood samples were collected from dark-eyed birds and their partners on Campbell Island to determine their provenance and whether a sex imbalance caused them to breed with Campbell Albatrosses. Analysis of mitochondrial DNA revealed that dark-eyed birds were of three genetically distinct groups: T. melanophrys, Falkland Islands T. melanophrys and T. impavida. The majority of both types of T. melanophrys on Campbell Island were male, hence none was paired with the same taxon, but most of the more widespread form chose dark-eyed mates. Other individuals had a succession of light-eyed partners over several years. Dark-eyed T. impavida may have been hybrid progeny of female T. impavida X male T. melanophrys pairings. One of these birds was banded as a chick in 1970, suggesting that hybridisation has occurred on Campbell Island at least as early as that date. Their presence suggests a low rate of interchange between the island groups or recent immigration of T. melanophrys to Campbell Island and neighbouring island groups.</t>
  </si>
  <si>
    <t>Dept Conservat, Wellington, New Zealand; Univ Cambridge, Dept Zool, Cambridge CB2 3EJ, England; British Antarctic Survey, Cambridge CB3 0ET, England; Univ Auckland, Sch Biol Sci, Auckland, New Zealand</t>
  </si>
  <si>
    <t>University of Cambridge; UK Research &amp; Innovation (UKRI); Natural Environment Research Council (NERC); NERC British Antarctic Survey; University of Auckland</t>
  </si>
  <si>
    <t>Moore, PJ (corresponding author), Dept Conservat, POB 10-420, Wellington, New Zealand.</t>
  </si>
  <si>
    <t>Millar, Craig/B-5168-2009</t>
  </si>
  <si>
    <t>10.1071/MU00074</t>
  </si>
  <si>
    <t>509MJ</t>
  </si>
  <si>
    <t>WOS:000173151300007</t>
  </si>
  <si>
    <t>Steel, GD</t>
  </si>
  <si>
    <t>Polar moods - Third-quarter phenomena in the Antarctic</t>
  </si>
  <si>
    <t>ENVIRONMENT AND BEHAVIOR</t>
  </si>
  <si>
    <t>It has been suggested that personnel in isolated environments experience a drop in mood shortly after the midpoint of their stay. This drop, dubbed the third-quarter phenomenon, was investigated in two studies at a remote Antarctic base. Subjects in Study 1 completed 12 retrospective mood measures, based on Russell's circumplex model of affect, one for each month of their year-long stay. In Study 2, subjects completed one mood scale for each of their 12 months' deployment. The results of both studies indicate moderate empirical support for the existence of the third-quarter phenomenon, but certain dimensions of mood may be more susceptible to temporal effects. These results are discussed in light of the possible links between arousal and isolation, and implications for Antarctic crews are suggested.</t>
  </si>
  <si>
    <t>Lincoln Univ, Human Sci Div, Canterbury, New Zealand</t>
  </si>
  <si>
    <t>Lincoln University - New Zealand</t>
  </si>
  <si>
    <t>Steel, GD (corresponding author), Lincoln Univ, Human Sci Div, POB 84, Canterbury, New Zealand.</t>
  </si>
  <si>
    <t>Steel, Gary/P-6729-2018</t>
  </si>
  <si>
    <t>Steel, Gary/0000-0002-8499-9709</t>
  </si>
  <si>
    <t>SAGE PUBLICATIONS INC</t>
  </si>
  <si>
    <t>THOUSAND OAKS</t>
  </si>
  <si>
    <t>2455 TELLER RD, THOUSAND OAKS, CA 91320 USA</t>
  </si>
  <si>
    <t>0013-9165</t>
  </si>
  <si>
    <t>ENVIRON BEHAV</t>
  </si>
  <si>
    <t>Environ. Behav.</t>
  </si>
  <si>
    <t>10.1177/00139160121972909</t>
  </si>
  <si>
    <t>Environmental Studies; Psychology, Multidisciplinary</t>
  </si>
  <si>
    <t>Environmental Sciences &amp; Ecology; Psychology</t>
  </si>
  <si>
    <t>378ZM</t>
  </si>
  <si>
    <t>WOS:000165616400007</t>
  </si>
  <si>
    <t>López-García, P; Moreira, D; López-López, A; Rodríguez-Valera, F</t>
  </si>
  <si>
    <t>A novel haloarchaeal-related lineage is widely distributed in deep oceanic regions</t>
  </si>
  <si>
    <t>ENVIRONMENTAL MICROBIOLOGY</t>
  </si>
  <si>
    <t>MARINE PLANKTONIC ARCHAEA; RNA GENE-SEQUENCES; MARIANA-TRENCH; PHYLOGENETIC CHARACTERIZATION; HYDROTHERMAL-VENT; SEA; BACTERIA; ENVIRONMENTS; ASSEMBLAGES; SEDIMENTS</t>
  </si>
  <si>
    <t>During our study of the 16S rRNA gene sequence-based archaeal diversity of a deep-sea site located at a 3000 m depth at the Antarctic Polar Front, we detected several phylotypes ascribed to already known Group II and III Euryarchaeota, and a cluster of distinct sequences that branched off at the base of haloarchaea. The position of this lineage (marine Group IV) was very robust using distance (neighbour-joining) and maximum-likelihood methods. Subsequently, we designed specific primers for the detection of this archaeal group in other marine environments using polymerase chain reaction amplification and sequence comparison. Group IV archaea were found in the Antarctic area (across a gradient from the Southern ocean to the South Atlantic), and also in North Atlantic and Mediterranean waters. In all oceanic locations, Group IV archaea were never detected in surface waters, but were vertically distributed in the deepest part of the water column.</t>
  </si>
  <si>
    <t>Univ Miguel Hernandez, Fac Med, Div Microbiol, San Juan Alicante 03550, Spain</t>
  </si>
  <si>
    <t>Universidad Miguel Hernandez de Elche</t>
  </si>
  <si>
    <t>López-García, P (corresponding author), Univ Miguel Hernandez, Fac Med, Div Microbiol, San Juan Alicante 03550, Spain.</t>
  </si>
  <si>
    <t>Moreira, David/F-7445-2012; Rodriguez-Valera, Francisco/M-2782-2013; Lopez-Garcia, Purificacion/B-6775-2012</t>
  </si>
  <si>
    <t>Moreira, David/0000-0002-2064-5354; Rodriguez-Valera, Francisco/0000-0002-9809-2059; Lopez Lopez, Arantxa/0000-0002-6081-7608; Lopez-Garcia, Purificacion/0000-0002-0927-0651</t>
  </si>
  <si>
    <t>BLACKWELL SCIENCE LTD</t>
  </si>
  <si>
    <t>P O BOX 88, OSNEY MEAD, OXFORD OX2 0NE, OXON, ENGLAND</t>
  </si>
  <si>
    <t>1462-2912</t>
  </si>
  <si>
    <t>ENVIRON MICROBIOL</t>
  </si>
  <si>
    <t>Environ. Microbiol.</t>
  </si>
  <si>
    <t>10.1046/j.1462-2920.2001.00162.x</t>
  </si>
  <si>
    <t>Microbiology</t>
  </si>
  <si>
    <t>403RK</t>
  </si>
  <si>
    <t>WOS:000167056100008</t>
  </si>
  <si>
    <t>Andrade, S; Poblet, A; Scagliola, M; Vodopivez, C; Curtosi, A; Pucci, A; Marcovecchio, J</t>
  </si>
  <si>
    <t>Distribution of heavy metals in surface sediments from an antarctic marine ecosystem</t>
  </si>
  <si>
    <t>ENVIRONMENTAL MONITORING AND ASSESSMENT</t>
  </si>
  <si>
    <t>Antarctica; marine ecosystem; surface sediments</t>
  </si>
  <si>
    <t>The concentrations of lead, cadmium, copper, chromium, iron, manganese and zinc in surface sediments collected from Potter Cove, in the 25 de Mayo Island (King George Island), Antarctica, and its drainage basin, were measured by atomic absorption spectroscopy. The obtained results were use to determine the areal and vertical distribution of the metals of in the Cove and potential sources of these metals to this environment. The geochemical data suggest that most of the metals found in Potter Cove constitute a redistribution of autochthonous materials within the ecosystem. Therefore, the metal concentrations can be considered to be present at natural background levels in surface sediments.</t>
  </si>
  <si>
    <t>Inst Argentino Oceanog, Bahia Blanca, Buenos Aires, Argentina</t>
  </si>
  <si>
    <t>Marcovecchio, J (corresponding author), Inst Argentino Oceanog, Bahia Blanca, Buenos Aires, Argentina.</t>
  </si>
  <si>
    <t>Marcovecchio, Jorge/AAQ-3365-2020; Andrade, Santiago/F-8734-2014</t>
  </si>
  <si>
    <t>Andrade, Santiago/0000-0001-9632-6088</t>
  </si>
  <si>
    <t>KLUWER ACADEMIC PUBL</t>
  </si>
  <si>
    <t>DORDRECHT</t>
  </si>
  <si>
    <t>SPUIBOULEVARD 50, PO BOX 17, 3300 AA DORDRECHT, NETHERLANDS</t>
  </si>
  <si>
    <t>0167-6369</t>
  </si>
  <si>
    <t>ENVIRON MONIT ASSESS</t>
  </si>
  <si>
    <t>Environ. Monit. Assess.</t>
  </si>
  <si>
    <t>10.1023/A:1026487612504</t>
  </si>
  <si>
    <t>Environmental Sciences</t>
  </si>
  <si>
    <t>379FQ</t>
  </si>
  <si>
    <t>WOS:000165631700003</t>
  </si>
  <si>
    <t>Guruge, KS; Watanabe, M; Tanaka, H; Tanabe, S</t>
  </si>
  <si>
    <t>Accumulation status of persistent organochlorines in albatrosses from the North Pacific and the Southern Ocean</t>
  </si>
  <si>
    <t>ENVIRONMENTAL POLLUTION</t>
  </si>
  <si>
    <t>organochlorines; pesticides; PCBs; albatross; North Pacific; Southern Ocean</t>
  </si>
  <si>
    <t>CORMORANTS PHALACROCORAX-CARBO; MIDWAY ATOLL; CHLORINATED HYDROCARBONS; ANTARCTIC SEABIRDS; ADELIE PENGUIN; GREAT-LAKES; PCB ISOMERS; CONTAMINATION; FISH; POLLUTANTS</t>
  </si>
  <si>
    <t>Current status of contamination by persistent organochlorines (OCs) such as polychlorinated biphenyles (PCBs), dichloro-diphenyl trichloroethane and its metabolites (DDTs), isomers of hexachlorocyclohexane (HCHs), hexachlorobenzene (HCB) and chlordane compounds (CHLs) were examined in 61 individuals belonging to eight albatross species collected from the North Pacific and the Southern Ocean. Generally high OC concentrations were found in albatrosses from the North Pacific than those from the Southern Oceans. Black-footed albatrosses had noticeably high PCBs and DDTs concentrations with mean values of 92 and 33 mug/g wet weight in subcutaneous fat, respectively. Among the other OCs, concentration of CHLs was higher than that of HCB in North Pacific albatrosses. HCHs accumulation was the lowest among all the OCs analyzed. Species-specific differences were observed for HCB, CHLs and DDTs in some species in the Southern Ocean. No significant difference of gender and age-related accumulation was observed in total OCs. However, PCB concentrations were higher in mature birds than those from immature ones in the Southern Ocean. Species-specific accumulation patterns of OCs in albatrosses were closely related with their feeding, migration, age and geographical ranges. (C) 2001 Elsevier Science Ltd. All rights reserved.</t>
  </si>
  <si>
    <t>Ehime Univ, Ctr Marine Environm Studies, Matsuyama, Ehime 7908566, Japan; Natl Inst Anim Hlth, Dept Feed Safety, Lab Toxico Pharmacol, Tsukuba, Ibaraki 3050856, Japan; Natl Res Inst Far Seas Fisheries, Shimizu, Shizuoka 4240902, Japan</t>
  </si>
  <si>
    <t>Ehime University; National Institute of Animal Health - Japan; National Agriculture &amp; Food Research Organization - Japan; Japan Fisheries Research &amp; Education Agency (FRA)</t>
  </si>
  <si>
    <t>Tanabe, S (corresponding author), Ehime Univ, Ctr Marine Environm Studies, Tarumi 3-5-7, Matsuyama, Ehime 7908566, Japan.</t>
  </si>
  <si>
    <t>Guruge, Keerthi/AAW-4155-2021; Nomiyama, Kei/G-6950-2013; Tanabe, Shinsuke/G-6950-2013</t>
  </si>
  <si>
    <t>Nomiyama, Kei/0000-0002-8012-3806; Tanabe, Shinsuke/0000-0002-0911-6232</t>
  </si>
  <si>
    <t>ELSEVIER SCI LTD</t>
  </si>
  <si>
    <t>THE BOULEVARD, LANGFORD LANE, KIDLINGTON, OXFORD OX5 1GB, OXON, ENGLAND</t>
  </si>
  <si>
    <t>0269-7491</t>
  </si>
  <si>
    <t>ENVIRON POLLUT</t>
  </si>
  <si>
    <t>Environ. Pollut.</t>
  </si>
  <si>
    <t>10.1016/S0269-7491(00)00234-7</t>
  </si>
  <si>
    <t>472TT</t>
  </si>
  <si>
    <t>WOS:000171001600010</t>
  </si>
  <si>
    <t>Laturnus, F</t>
  </si>
  <si>
    <t>Marine macroalgae in polar regions as natural sources for volatile organohalogens</t>
  </si>
  <si>
    <t>ENVIRONMENTAL SCIENCE AND POLLUTION RESEARCH</t>
  </si>
  <si>
    <t>algal metabolism; bromoform; marine macroalgae; methyl halides; polar regions; volatile halocarbons</t>
  </si>
  <si>
    <t>HALOGENATED ORGANIC-COMPOUNDS; ATMOSPHERIC METHYL-BROMIDE; ANTARCTIC MACROALGAE; OZONE DEPLETION; GIANT-KELP; HALOCARBONS; RELEASE; BROMOFORM; CULTURES; IODINE</t>
  </si>
  <si>
    <t>Marine macroalgae species from the polar regions were investigated for their importance as natural sources of volatile halogenated compounds released into the biosphere. Several different halogenated C-1 to C-4 hydrocarbons were identified and their release rates determined. The compounds contained mainly bromine and iodine, and form was the dominant compound released. Although an annual atmospheric input of approximately 10(8)-10(10) g bromine and 10(7)-10(8) g iodine was calculated from the release rates, marine macroalgae are apparently nor the major source on a global scale, as the release is up to four orders of magnitude lower than a presumed annual flow from the oceans. Despite this, macroalgae may be more important on a local scale due to their occurrence at a high biomass in the coastal regions. The present paper gives an overview about studies done on the release of volatile halocarbons by macroalgae from polar regions. Furthermore, the function of these compounds in the macroalgal metabolism is discussed.</t>
  </si>
  <si>
    <t>Riso Natl Lab, Dept Plant Biol &amp; Biogeochem, DK-4000 Roskilde, Denmark</t>
  </si>
  <si>
    <t>Technical University of Denmark</t>
  </si>
  <si>
    <t>Univ Copenhagen, Mat Sci Lab, Symb Sci Pk,Fruebergvej 3, DK-2100 Copenhagen O, Denmark.</t>
  </si>
  <si>
    <t>polaris3@uni-bremen.de</t>
  </si>
  <si>
    <t>SPRINGER HEIDELBERG</t>
  </si>
  <si>
    <t>HEIDELBERG</t>
  </si>
  <si>
    <t>TIERGARTENSTRASSE 17, D-69121 HEIDELBERG, GERMANY</t>
  </si>
  <si>
    <t>0944-1344</t>
  </si>
  <si>
    <t>1614-7499</t>
  </si>
  <si>
    <t>ENVIRON SCI POLLUT R</t>
  </si>
  <si>
    <t>Environ. Sci. Pollut. Res.</t>
  </si>
  <si>
    <t>10.1007/BF02987302</t>
  </si>
  <si>
    <t>429VU</t>
  </si>
  <si>
    <t>WOS:000168539300006</t>
  </si>
  <si>
    <t>Ockenden, WA; Lohmann, R; Shears, JR; Jones, KC</t>
  </si>
  <si>
    <t>The significance of PCBs in the atmosphere of the southern hemisphere</t>
  </si>
  <si>
    <t>air; antarctica; atmosphere; long-range transport; PCBs; persistent organic pollutants (POPs); polycyclic chlorinated biphenyls; POPs; southern hemisphere</t>
  </si>
  <si>
    <t>AIR; ANTARCTICA; ISLAND</t>
  </si>
  <si>
    <t>Air monitoring stations were set up at 2 sites in the southern hemisphere-Moody Brook, Falkland Islands (51 degrees 25' S, 57 degrees 56W) and Halley, Research Station, Antarctica (75 degrees 35' S, 26 degrees 30' W). PCBs were monitored at the stations throughout 1999. Highest concentrations were observed when temperatures were greater. In general, concentrations were greater at Moody Brook than at Halley, although the difference in concentrations between sites was less for more chlorinated congeners. Air concentrations at both sites were compared with samples collected nearby over-water. Over water air concentrations were found to be greater than over land air concentrations. Concentrations were also compared with literature data for air concentrations at a remote site in the Canadian Arctic. Atmospheric concentrations of tri-chlorinated biphenyls were found to be approximately double those reported for Ellesmere Island in the Canadian Arctic, whilst concentrations in samples from Antarctica were very similar to those found in the high Arctic. Most other PCBs were a factor of 2-4 greater in the Canadian Arctic.</t>
  </si>
  <si>
    <t>Univ Lancaster, Dept Environm Sci, Lancaster LA1 4YQ, England; British Antarctic Survey, Cambridge CB3 0ET, England</t>
  </si>
  <si>
    <t>Lancaster University; UK Research &amp; Innovation (UKRI); Natural Environment Research Council (NERC); NERC British Antarctic Survey</t>
  </si>
  <si>
    <t>Jones, KC (corresponding author), Univ Lancaster, Dept Environm Sci, Lancaster LA1 4YQ, England.</t>
  </si>
  <si>
    <t>Lohmann, Rainer/B-1511-2008; Jones, Kevin C/F-4296-2014</t>
  </si>
  <si>
    <t>Lohmann, Rainer/0000-0001-8796-3229; Jones, Kevin Christopher/0000-0001-7108-9776</t>
  </si>
  <si>
    <t>Natural Environment Research Council [bas010011] Funding Source: researchfish; NERC [bas010011] Funding Source: UKRI</t>
  </si>
  <si>
    <t>Natural Environment Research Council(UK Research &amp; Innovation (UKRI)Natural Environment Research Council (NERC)); NERC(UK Research &amp; Innovation (UKRI)Natural Environment Research Council (NERC))</t>
  </si>
  <si>
    <t>ECOMED PUBLISHERS</t>
  </si>
  <si>
    <t>LANDSBERG</t>
  </si>
  <si>
    <t>RUDOLF-DIESEL-STR 3, D-86899 LANDSBERG, GERMANY</t>
  </si>
  <si>
    <t>10.1007/BF02987384</t>
  </si>
  <si>
    <t>457MK</t>
  </si>
  <si>
    <t>WOS:000170141100007</t>
  </si>
  <si>
    <t>Benjamin, DC; Kristjánsdóttir, S; Gudmundsdóttir, A</t>
  </si>
  <si>
    <t>Increasing the thermal stability of euphauserase -: A cold-active and multifunctional serine protease from Antarctic krill</t>
  </si>
  <si>
    <t>EUROPEAN JOURNAL OF BIOCHEMISTRY</t>
  </si>
  <si>
    <t>brachyurin; mutations; serine protease; similarity modeling</t>
  </si>
  <si>
    <t>ATLANTIC COD; CONFORMATIONAL SEARCH; CHYMOTRYPSIN; RECOGNITION; PROTEINASE; CLEAVAGE</t>
  </si>
  <si>
    <t>A molecular model of Antarctic krill euphauserase based on the known crystal structure of its fiddler crab analog, collagenase I, indicates that the core structure of these enzymes is almost identical. Euphauserase is a cold-active and thermally sensitive enzyme with a high affinity for Lys, Arg and large hydrophobic amino acids. Residue Phe137 in euphauserase, localized in loop D (autolysis loop), is highly exposed on the surface of the molecule. Therefore, it appeared to be an easy target for autolysis. The broadly specific euphauserase has a low affinity for negatively charged residues. In order to increase the stability of the enzyme, two mutants were created in which residue Phe137 was replaced by a Glu and an Asp residue. Both mutations resulted in increased stability of the recombinant euphauserase towards thermal inactivation.</t>
  </si>
  <si>
    <t>Univ Iceland, Inst Sci, Dept Food Sci, IS-101 Reykjavik, Iceland; Univ Virginia, Sch Med, Dept Microbiol, Charlottesville, VA 22908 USA</t>
  </si>
  <si>
    <t>University of Iceland; University of Virginia</t>
  </si>
  <si>
    <t>ag@raunvis.hi.is</t>
  </si>
  <si>
    <t>WILEY</t>
  </si>
  <si>
    <t>HOBOKEN</t>
  </si>
  <si>
    <t>111 RIVER ST, HOBOKEN 07030-5774, NJ USA</t>
  </si>
  <si>
    <t>0014-2956</t>
  </si>
  <si>
    <t>EUR J BIOCHEM</t>
  </si>
  <si>
    <t>Eur. J. Biochem.</t>
  </si>
  <si>
    <t>10.1046/j.1432-1327.2001.01857.x</t>
  </si>
  <si>
    <t>Biochemistry &amp; Molecular Biology</t>
  </si>
  <si>
    <t>394LH</t>
  </si>
  <si>
    <t>WOS:000166525200018</t>
  </si>
  <si>
    <t>Wynn-Williams, DD; Newton, EM; Edwards, HGM</t>
  </si>
  <si>
    <t>Ehrenfreund, P; Angerer, O; Battrick, B</t>
  </si>
  <si>
    <t>The role of habitat structure for biomolecule integrity and microbial survival under extreme environmental stress in Antarctica (and Mars?): Ecology and technology.</t>
  </si>
  <si>
    <t>EXO-/ASTRO-BIOLOGY</t>
  </si>
  <si>
    <t>ESA Special Publications</t>
  </si>
  <si>
    <t>1st European Workshop of the European-Exo/Astrobiology-Network</t>
  </si>
  <si>
    <t>MAY 21-23, 2001</t>
  </si>
  <si>
    <t>FRASCATI, ITALY</t>
  </si>
  <si>
    <t>LASER RAMAN-SPECTROSCOPY; IN-SITU; MINERAL IDENTIFICATION; ULTRAVIOLET-RADIATION; VICTORIA-LAND; MARTIAN SOIL; LIFE; SURFACE; EXOBIOLOGY; REACTIVITY</t>
  </si>
  <si>
    <t>The integrity of cells and biomolecules in stressed environments is enhanced within microhabitats. Despite desiccation and low temperatures in Antarctic deserts, the greatest near-surface factor is Solar radiation. Photosynthetic microbial communities that pioneer polar deserts harness photosynthetically active radiation (PAR) whilst concurrently adopting protective strategies against UVB with screening pigments or avoidance in stratified habitats. To analyse whole communities in situ, we use laser Raman spectroscopy as a non-intrusive technique for organic compounds and mineral substrata. We use the distinctive spectra of cyanobacterial and lichen UV-screening pigments, and energy-quenching carotenoids to define their functional locations. Their occurrence in extreme habitats and in the fossil record permits extrapolation to conditions on early Earth and analogous habitats on Early Mars. We describe our Raman spectral database accumulated with a laboratory FT Raman spectrometer and expansion to Antarctic fieldwork and astrobiology with a novel miniature 1064 nm laser system with an Indium-Gallium-Arsenide detector.</t>
  </si>
  <si>
    <t>British Antarctic Survey, Cambridge CB3 0ET, England</t>
  </si>
  <si>
    <t>Wynn-Williams, DD (corresponding author), British Antarctic Survey, Madingley Rd, Cambridge CB3 0ET, England.</t>
  </si>
  <si>
    <t>ddww@bas.ac.uk; h.g.m.edwards@bradford.ac.uk</t>
  </si>
  <si>
    <t>ESA PUBLICATIONS DIVISION C/O ESTEC</t>
  </si>
  <si>
    <t>2200 AG NOORDWIJK</t>
  </si>
  <si>
    <t>PO BOX 299, 2200 AG NOORDWIJK, NETHERLANDS</t>
  </si>
  <si>
    <t>0379-6566</t>
  </si>
  <si>
    <t>92-9092-806-9</t>
  </si>
  <si>
    <t>ESA SPEC PUBL</t>
  </si>
  <si>
    <t>Astronomy &amp; Astrophysics; Chemistry, Multidisciplinary; Geochemistry &amp; Geophysics</t>
  </si>
  <si>
    <t>Astronomy &amp; Astrophysics; Chemistry; Geochemistry &amp; Geophysics</t>
  </si>
  <si>
    <t>BT66U</t>
  </si>
  <si>
    <t>WOS:000173696600040</t>
  </si>
  <si>
    <t>Vorobyova, EA; Soina, VS; Yaminski, IV</t>
  </si>
  <si>
    <t>Astrobiology strategies, life strategies, and methodologies applied</t>
  </si>
  <si>
    <t>ESA SPECIAL PUBLICATIONS</t>
  </si>
  <si>
    <t>Arctic and Antarctic ancient permafrost sediments should be evaluated as Earth extremal environments that are very useful for improvement of methodologies for astrobiological search for life. The overwhelming majority of microorganisms revealed themselves as non-culturable and could be detected only by direct visual microscopic analysis of native samples. The up-to-date high resolution microscopy techniques offer new advantages for in-situ microbial investigations at the micron and submicron levels. Visualization of cells or cell populations directly in native samples allows a thorough analysis of the distribution of biogenic and abiogenic components in heterophasic media. Direct in situ revealing of microbial cells in native permafrost samples and cytomorphological analysis were carried out using epifluorescence microscopy, scanning electron microscopy (SEM) and atomic force microscopy (AFM) techniques, for fine cells structure investigations transmission electron microscopy (TEM) was applied. The application of environmental scanning electron microscope (ESEM) for studying intact permafrost samples has enabled us to reveal changes in the microstructure of frozen deposits upon their thaw. It was shown that atomic force microscopy techniques could provide differentiation in morphology of bacteria in depends of their physiological state. AFM approach gives also some possibilities for differentiation of biotic and abiotic objects in heterogeneous environment.</t>
  </si>
  <si>
    <t>Moscow MV Lomonosov State Univ, Moscow 119899, Russia</t>
  </si>
  <si>
    <t>Lomonosov Moscow State University</t>
  </si>
  <si>
    <t>Vorobyova, EA (corresponding author), Moscow MV Lomonosov State Univ, Vorobyovy Gory, Moscow 119899, Russia.</t>
  </si>
  <si>
    <t>Vorobyova, Elena/ABF-3374-2021</t>
  </si>
  <si>
    <t>Vorobyova, Elena/0000-0002-4636-9933</t>
  </si>
  <si>
    <t>ESA SP PUBL</t>
  </si>
  <si>
    <t>WOS:000173696600082</t>
  </si>
  <si>
    <t>Maruo, M; Nakayama, E; Obata, H; Kamiyama, K; Kimoto, T</t>
  </si>
  <si>
    <t>Application of the flow-through analyses of ammonia and calcium in ice core and fresh water by fluorometric detection</t>
  </si>
  <si>
    <t>FIELD ANALYTICAL CHEMISTRY AND TECHNOLOGY</t>
  </si>
  <si>
    <t>flow-through analysis; ammonia; calcium; ice core; fluorescence</t>
  </si>
  <si>
    <t>A flow-through analyzer that can determine trace amounts of chemical components in ice cores was examined. To obtain the vertical profiles of ammonia and calcium in the ice core, which can be a measure of the climate change, sensitive fluorescence signals were examined, For the determination of ammonia, a reaction with o-phthalaldehyde and sulfite salt was performed. This system had the potential to measure down to 2 nM, with a 1-mm ice-core resolution, equivalent to the thickness of the monthly ammonia profiles during the last interglacial maximum. A trace calcium analyzer was simultaneously examined, with the use of the fluorescent enhancement of Fura2 with a detection limit of 15 nM. Ammonia and calcium in the Antarctic ice core showed similar variation patterns, different from that of the Greenland ice core. The ammonia analyzer was also applied to the analysis of lake water. (C) 2001 John Wiley &amp; Sons, Inc.</t>
  </si>
  <si>
    <t>Univ Shiga Prefecture, Sch Environm Sci, Shiga 5228533, Japan; Natl Inst Polar Res, Itabashi Ku, Tokyo 1738515, Japan; Res Inst Oceano Chem, Osaka 5430024, Japan</t>
  </si>
  <si>
    <t>University Shiga Prefecture; Research Organization of Information &amp; Systems (ROIS); National Institute of Polar Research (NIPR) - Japan</t>
  </si>
  <si>
    <t>Maruo, M (corresponding author), Univ Shiga Prefecture, Sch Environm Sci, Hassaka 2500, Shiga 5228533, Japan.</t>
  </si>
  <si>
    <t>JOHN WILEY &amp; SONS INC</t>
  </si>
  <si>
    <t>605 THIRD AVE, NEW YORK, NY 10158-0012 USA</t>
  </si>
  <si>
    <t>1086-900X</t>
  </si>
  <si>
    <t>FIELD ANAL CHEM TECH</t>
  </si>
  <si>
    <t>Field Anal. Chem. Technol.</t>
  </si>
  <si>
    <t>1-2</t>
  </si>
  <si>
    <t>10.1002/fact.1003</t>
  </si>
  <si>
    <t>Chemistry, Analytical; Environmental Sciences; Instruments &amp; Instrumentation</t>
  </si>
  <si>
    <t>Chemistry; Environmental Sciences &amp; Ecology; Instruments &amp; Instrumentation</t>
  </si>
  <si>
    <t>426TW</t>
  </si>
  <si>
    <t>WOS:000168365300004</t>
  </si>
  <si>
    <t>Convey, P</t>
  </si>
  <si>
    <t>Walther, GR; Burga, CA; Edwards, PJ</t>
  </si>
  <si>
    <t>Terrestrial ecosystem responses to climate changes in the Antarctic</t>
  </si>
  <si>
    <t>FINGERPRINTS OF CLIMATE CHANGE: ADAPTED BEHAVIOUR AND SHIFTING SPECIES RANGES</t>
  </si>
  <si>
    <t>International Conference on Fingerprints of Climate Change</t>
  </si>
  <si>
    <t>FEB 23-25, 2001</t>
  </si>
  <si>
    <t>ASCONA, SWITZERLAND</t>
  </si>
  <si>
    <t>ULTRAVIOLET-B RADIATION; PRINCE-EDWARD-ISLANDS; INCREASED UV-B; SOUTH-GEORGIA; VASCULAR PLANTS; COLD TOLERANCE; LIFE-HISTORY; TEMPERATURE ELEVATION; ENVIRONMENTAL-CHANGE; MICROARTHROPOD COMMUNITY</t>
  </si>
  <si>
    <t>Parts of Antarctica, particularly the Antarctic Peninsula region and sub-Antarctic Islands, are experiencing rapid changes in climate, particularly temperature, precipitation/hydration and irradiation, although it is becoming clear that many of these are driven by regional rather than global processes. Terrestrial ecosystems of this remote region provide a natural experiment in which to identify biological responses (at scales between cell biochemistry and whole ecosystem) to changing climate variables, both in isolation and combination. The conclusions drawn may be applied to more complex lower latitude ecosystems, where change is perceived to have more direct relevance to Mankind. This paper gives an overview of recent and continuing studies of Antarctic terrestrial biology, assessing these in the context of existing predictive literature. The importance of flexibility (physiological and ecological) and resilience of existing taxa in the face of change are highlighted. In the long-term, large-scale changes in ecosystem structure, complexity and diversity are likely as a consequence of long-distance colonisation by exotic species. However, in the shorter term, geographical isolation will limit responses to those of existing terrestrial biota. In contrast with some earlier predictions of wide-ranging deleterious effects, these now appear likely to be subtle and multifactorial in origin.</t>
  </si>
  <si>
    <t>British Antarctic Survey, NERC, Cambridge CB3 0ET, England</t>
  </si>
  <si>
    <t>Convey, P (corresponding author), British Antarctic Survey, NERC, High Cross,Madingley Rd, Cambridge CB3 0ET, England.</t>
  </si>
  <si>
    <t>Convey, Peter/AAV-5728-2020</t>
  </si>
  <si>
    <t>Convey, Peter/0000-0001-8497-9903</t>
  </si>
  <si>
    <t>KLUWER ACADEMIC/PLENUM PUBL</t>
  </si>
  <si>
    <t>233 SPRING ST, NEW YORK, NY 10013 USA</t>
  </si>
  <si>
    <t>0-306-46716-X</t>
  </si>
  <si>
    <t>BT80F</t>
  </si>
  <si>
    <t>WOS:000174089000002</t>
  </si>
  <si>
    <t>Pappelis, A; Bahn, P; Grubbs, R; Bozzola, J; Cohen, P</t>
  </si>
  <si>
    <t>ChelaFlores, J; Owen, T; Raulin, F</t>
  </si>
  <si>
    <t>From inanimate macromolecules to the animate protocell: In search of thermal protein phase-shifting</t>
  </si>
  <si>
    <t>FIRST STEPS IN THE ORIGIN OF LIFE IN THE UNIVERSE, PROCEEDINGS</t>
  </si>
  <si>
    <t>6th Trieste Conference on Chemical Evolution</t>
  </si>
  <si>
    <t>SEP 18-22, 2000</t>
  </si>
  <si>
    <t>TRIESTE, ITALY</t>
  </si>
  <si>
    <t>CARBONACEOUS ANTARCTIC MICROMETEORITES; AMINO-ACIDS; LIFE</t>
  </si>
  <si>
    <t>Glass-state thermal proteins (TPs) yielded protocells when moistened (at 100 C, instantly on cooling; at 60 C, within 3 sec; at 20 C, within 3 min; and, at 4 C, within 24 h). The TPs were copolymers of 20 amino acids (AAs) found in true proteins or conjugated TPs (four types of TPs with DOPA, and one type of TP with glucose, lecithin, adenosine monophosphate, ferric ions, or phosphate ions); and, 18 equimolar AAs without aspartic or glutamic acids. The 20 AA copolymer TPs were formed at 180 C (6 h). The 18-AA TPs were formed at 20 C (1 and 5 yr). We infer: the time required to convert TPs (by phase-shifting; TP folding) to protocells is an acellular, chemical life process(es). We modified (Italics ours) the NASA definition: Life is a self-sustained chemical system (acellular, chemical life --&gt; protocellular, biological life) capable of undergoing Darwinian evolution. We infer AAs 4 TPs in micrometeorites. Melting micrometeoritic ice would convert TPs into protocells. Thus, such micrometeorites could be cosmozoa or panspermia (in the glass state, these could be called litho-cosmozoa and litho-panspermia).</t>
  </si>
  <si>
    <t>So Illinois Univ, Dept Plant Biol, Carbondale, IL 62901 USA</t>
  </si>
  <si>
    <t>Southern Illinois University System; Southern Illinois University</t>
  </si>
  <si>
    <t>Pappelis, A (corresponding author), So Illinois Univ, Dept Plant Biol, Carbondale, IL 62901 USA.</t>
  </si>
  <si>
    <t>SPRINGER</t>
  </si>
  <si>
    <t>PO BOX 17, 3300 AA DORDRECHT, NETHERLANDS</t>
  </si>
  <si>
    <t>1-4020-0077-4</t>
  </si>
  <si>
    <t>Astronomy &amp; Astrophysics</t>
  </si>
  <si>
    <t>BT57Z</t>
  </si>
  <si>
    <t>WOS:000173413600011</t>
  </si>
  <si>
    <t>Bonaccorsi, R; Melis, R</t>
  </si>
  <si>
    <t>Persistence of living planktonic foraminifera (Neogloboquadrina pachyderma) in Antarctic sea-ice inferred from a study of a sediment core (Ross Sea continental margin)</t>
  </si>
  <si>
    <t>This work attempts to constrain and discuss the persistence of living planktonic foraminifera Neogloboquadrina pachyderma (Ehrenberg, 1861) in Antarctic sea-ice (overwintering strategy) during the Last Glacial Maximum (LGM). Samples taken from Level 12 (216.5-238 cm-depth) of a gravity sediment core ANTA95-89C (74degrees 29.100'S - 175degrees 34.059'W; 2058 m-depth) have radiocarbon dates of 28.2-17.2 yr BP. During the LGM, the Ross Sea Ice Shelf and associated sea ice extended far seaward of the position of this core. From 15 up to 60-80% of N. pachyderma were found in a three-layer interval referred as Level 12 and associated with up to 10.8-65.7 % of sand to gravel-sized Iceberg Rafted Debris (IBRD). This suggests that foraminifera lived in wide areas of Ice Shelf/sea-ice during the LGM. Results of such palaeoclimate/palaeoenviromnental investigation are integrated into an Astrobiology Roadmap science framework.</t>
  </si>
  <si>
    <t>Univ Trieste, Dip Sci Geol Ambientale &amp; Marine, I-34127 Trieste, Italy</t>
  </si>
  <si>
    <t>University of Trieste</t>
  </si>
  <si>
    <t>Univ Trieste, Dip Sci Geol Ambientale &amp; Marine, Via E Weiss 2, I-34127 Trieste, Italy.</t>
  </si>
  <si>
    <t>bonaccor@univ.trieste.it</t>
  </si>
  <si>
    <t>WOS:000173413600045</t>
  </si>
  <si>
    <t>Alvarez, MB; Malla, ME; Batistoni, DA</t>
  </si>
  <si>
    <t>Comparative assessment of two sequential chemical extraction schemes for the fractionation of cadmium, chromium, lead and zinc in surface coastal sediments</t>
  </si>
  <si>
    <t>FRESENIUS JOURNAL OF ANALYTICAL CHEMISTRY</t>
  </si>
  <si>
    <t>CERTIFIED REFERENCE MATERIALS; TRACE-ELEMENTS; METAL SPECIATION; HEAVY-METALS; SOILS</t>
  </si>
  <si>
    <t>Two existing sequential chemical extraction schemes, involving respectively five and six leaching steps with solutions of increasing dissolving power, were compared. The methods have been applied to surface sediment samples collected in a marine estuary zone potentially exposed to contamination arising from nearby industrial activities. A certified reference material (MURST-ISS-A1) consisting of an Antarctic bottom sediment for which no information regarding phase dependent concentration is available, was also analyzed. In order to evaluate the partition of metals among different geochemical forms, the concentrations of cadmium, chromium, lead and zinc were measured in the liquid extracts by Zeeman-corrected flame atomic absorption and by inductively coupled plasma-atomic emission spectrometry. The total metal concentrations were determined after strong acid attack, and the adequacy of this total digestion/dissolution technique was verified by its application to the reference material. Comparison of total metal concentrations with the sum of concentrations associated with the individual phases was employed to assess possible analyte losses or contaminations. Precisions for both sequential procedures were comparable, but some inconsistencies in mass balances were found in one of the samples for the distribution of Zn in the soluble/exchangeable fractions and for Cd in the bound to carbonates form. In addition, the six steps procedure produced lower concentration values in the case of elements associated to the residual fraction. For the five steps method mass balances showed acceptable agreement, with average recoveries in the 87 to 106% range. On the whole, differences in metal distributions were observed, being more marked for the bottom sediment. Significant proportions of the studied elements, with the exception of Cr, were found as easily extractable forms. X-ray diffraction and petrographic observation of the surface sediments allowed qualitative correlation between the leaching results obtained and the presence of defined geochemical phases.</t>
  </si>
  <si>
    <t>Comis Nacl Energia Atom, Geren Ctr Atom Consistuyentes, Unidad Actividad Quim, RA-1429 Buenos Aires, DF, Argentina; Univ Nacl Sur, Dept Quim &amp; Ingn Quim, RA-8000 Bahia Blanca, Buenos Aires, Argentina; Univ Buenos Aires, Fac Ciencias Exactas &amp; Nat, INQUIMAE, Buenos Aires, DF, Argentina</t>
  </si>
  <si>
    <t>Comision Nacional de Energia Atomica (CNEA); National University of the South; University of Buenos Aires</t>
  </si>
  <si>
    <t>Batistoni, DA (corresponding author), Comis Nacl Energia Atom, Geren Ctr Atom Consistuyentes, Unidad Actividad Quim, Ave Libertador 8250, RA-1429 Buenos Aires, DF, Argentina.</t>
  </si>
  <si>
    <t>ONE NEW YORK PLAZA, SUITE 4600, NEW YORK, NY, UNITED STATES</t>
  </si>
  <si>
    <t>0937-0633</t>
  </si>
  <si>
    <t>FRESEN J ANAL CHEM</t>
  </si>
  <si>
    <t>Fresenius J. Anal. Chem.</t>
  </si>
  <si>
    <t>10.1007/s002160000592</t>
  </si>
  <si>
    <t>Chemistry, Analytical</t>
  </si>
  <si>
    <t>Chemistry</t>
  </si>
  <si>
    <t>392NL</t>
  </si>
  <si>
    <t>WOS:000166417500013</t>
  </si>
  <si>
    <t>Kumar, P; Ebihara, M; Bhattacharya, SK</t>
  </si>
  <si>
    <t>196Hg/202Hg ratio and Hg content in meteorites and terrestrial standard rocks:: A RNAA study</t>
  </si>
  <si>
    <t>GEOCHEMICAL JOURNAL</t>
  </si>
  <si>
    <t>ACID-INSOLUBLE RESIDUES; ANTARCTIC METEORITES; IRON-METEORITES; SIKHOTE ALIN; CHONDRITES; ACHONDRITES; ALLENDE; IODINE; NEBULA; XENON</t>
  </si>
  <si>
    <t>Radiochemical neutron activation was applied for the determination of mercury isotopic ratios (Hg-196/Hg-202) for standard rock samples and meteorite samples. After neutron activation, Hg was released upon heating from 100 degreesC to 500 degreesC at 100 degreesC steps and the activity ratio of Hg-197/Hg-203 was measured for each released fraction. After the correction for the interfering gamma -rays of Se-75 to Hg-203, the ratios obtained from the Dhajala meteorite (bulk and magnetically separated samples) were identical to those of the Hg monitor as well as standard rock samples (JB-1, basalt, and JG-1, granodiorite). An apparently low ratio of Hg-196/Hg-202 was observed at high temperature (500 degreesC) for the Allende meteorite reference sample. As such a low value was not reproduced in another run, the presence of isotopically anomalous Hg in the Allende reference sample can not be concluded. Hg/Se ratio was observed to be very high in the nonmagnetic fraction of Dhajala compared with that in the magnetic fraction, suggesting that Hg is less chalcophile than Se. Yamato 82050 (CO3) has an anomalously high content of Hg with a normal Hg-196/Hg-202 ratio, being at least an order of magnitude higher than the expected value. This meteorite must have been contaminated with Hg, presumably on Antarctica.</t>
  </si>
  <si>
    <t>Tokyo Metropolitan Univ, Grad Sch Sci, Dept Chem, Hachioji, Tokyo 1920397, Japan; Phys Res Lab, Ahmedabad 380009, Gujarat, India</t>
  </si>
  <si>
    <t>Tokyo Metropolitan University; Department of Space (DoS), Government of India; Physical Research Laboratory - India</t>
  </si>
  <si>
    <t>Ebihara, M (corresponding author), Tokyo Metropolitan Univ, Grad Sch Sci, Dept Chem, 1-1 Minami Ohsawa, Hachioji, Tokyo 1920397, Japan.</t>
  </si>
  <si>
    <t>ebihara-mitsuru@c.metro-u.ac.jp</t>
  </si>
  <si>
    <t>GEOCHEMICAL SOC JAPAN</t>
  </si>
  <si>
    <t>358-5 YAMABUKI-CHO, SHINJUKU-KU, TOKYO, 162-0801, JAPAN</t>
  </si>
  <si>
    <t>0016-7002</t>
  </si>
  <si>
    <t>1880-5973</t>
  </si>
  <si>
    <t>GEOCHEM J</t>
  </si>
  <si>
    <t>Geochem. J.</t>
  </si>
  <si>
    <t>10.2343/geochemj.35.101</t>
  </si>
  <si>
    <t>Geochemistry &amp; Geophysics</t>
  </si>
  <si>
    <t>424FD</t>
  </si>
  <si>
    <t>WOS:000168220800003</t>
  </si>
  <si>
    <t>Falcon-Lang, HJ; Cantrill, DJ</t>
  </si>
  <si>
    <t>Leaf phenology of some mid-Cretaceous polar forests, Alexander Island, Antarctica</t>
  </si>
  <si>
    <t>GEOLOGICAL MAGAZINE</t>
  </si>
  <si>
    <t>PALEOBOTANICAL EVIDENCE; GROWTH RINGS; CLIMATES; TERTIARY; TERRESTRIAL; VEGETATION; ECOLOGY; FLORAS; WOOD; ARAUCARIACEAE</t>
  </si>
  <si>
    <t>The leaf longevity and seasonal timing of leaf abscission within a plant community is closely related to climate, a phenomenon referred to as leaf phenology. In this paper the leaf phenology of some mid-Cretaceous (late Albian) forests which grew at latitude of 75 degrees S on Alexander Island, Antarctica, is analysed. Five independent techniques for determining leaf longevity are applied to the fossil remains of each of the canopy-forming trees. These techniques utilize: (1) the anatomical character of growth rings in trunk woods, (2) leaf trace persistence in juvenile branch and stem woods, (3) leaf physiognomy, (4) comparison with nearest living relatives, and (5) leaf taphonomy. The application of techniques 1-5 suggests that the araucarian and podocarp conifers, which comprised more than 90% of the canopy-forming vegetation, were evergreen with leaf retention times in excess of 5-13 years. The application of techniques 3-5 to rare taxodioid conifers indicates the existence of both evergreen and deciduous habits in this group, whilst both ginkgos and taeniopterids, which are locally abundant, are interpreted as possessing a deciduous habit. The polar forests of Alexander Island were therefore dominantly evergreen. Preliminary analysis of five other mid-Cretaceous polar forests suggests the presence of dominantly evergreen vegetation in Australia and Antarctica, and mixed evergreen-deciduous vegetation in Alaska, northern Russia and New Zealand. Cold month mean temperature probably exerted the largest influence on the leaf phenology at each of these forest sites.</t>
  </si>
  <si>
    <t>British Antarctic Survey, High Cross,Madingley Rd, Cambridge CB3 0ET, England.</t>
  </si>
  <si>
    <t>falconlang@hotmail.com</t>
  </si>
  <si>
    <t>Falcon-Lang, Howard J/D-8465-2011; Cantrill, David/R-1415-2019</t>
  </si>
  <si>
    <t>Cantrill, David/0000-0002-1185-4015</t>
  </si>
  <si>
    <t>32 AVENUE OF THE AMERICAS, NEW YORK, NY 10013-2473 USA</t>
  </si>
  <si>
    <t>0016-7568</t>
  </si>
  <si>
    <t>1469-5081</t>
  </si>
  <si>
    <t>GEOL MAG</t>
  </si>
  <si>
    <t>Geol. Mag.</t>
  </si>
  <si>
    <t>10.1017/S0016756801004927</t>
  </si>
  <si>
    <t>410CD</t>
  </si>
  <si>
    <t>WOS:000167421700004</t>
  </si>
  <si>
    <t>Bart, PJ</t>
  </si>
  <si>
    <t>Did the Antarctic ice sheets expand during the early Pliocene?</t>
  </si>
  <si>
    <t>GEOLOGY</t>
  </si>
  <si>
    <t>Antarctica; ice sheet; global warming; Pliocene; seismic stratigraphy</t>
  </si>
  <si>
    <t>Seismic data show that glacial unconformities are located within lower Pliocene strata on the Antarctic continental shelves. The glacial unconformities are significant because they provide direct evidence that the Antarctic ice sheets advanced despite the generally warmer climates and elevated sea levels that characterized most of the early Pliocene. The magnitudes of peak eustatic lowstands and O-18 enrichments indicate that the ice volume on Antarctica may have exceeded today's ice volume by approximately 18%, which suggests that the ice-sheet grounding events on the shelves probably were associated with larger than present ice volumes on two to three occasions during the early Pliocene.</t>
  </si>
  <si>
    <t>Louisiana State Univ, Dept Geol &amp; Geophys, Baton Rouge, LA 70803 USA</t>
  </si>
  <si>
    <t>Louisiana State University System; Louisiana State University</t>
  </si>
  <si>
    <t>Bart, PJ (corresponding author), Louisiana State Univ, Dept Geol &amp; Geophys, Baton Rouge, LA 70803 USA.</t>
  </si>
  <si>
    <t>GEOLOGICAL SOC AMERICA, INC</t>
  </si>
  <si>
    <t>BOULDER</t>
  </si>
  <si>
    <t>PO BOX 9140, BOULDER, CO 80301-9140 USA</t>
  </si>
  <si>
    <t>0091-7613</t>
  </si>
  <si>
    <t>10.1130/0091-7613(2001)029&lt;0067:DTAISE&gt;2.0.CO;2</t>
  </si>
  <si>
    <t>392ZA</t>
  </si>
  <si>
    <t>WOS:000166441700017</t>
  </si>
  <si>
    <t>Poore, RZ; Dowsett, HJ</t>
  </si>
  <si>
    <t>Pleistocene reduction of polar ice caps: Evidence from Cariaco Basin marine sediments</t>
  </si>
  <si>
    <t>interglacial; sea level; ice caps; global change; paleoclimate</t>
  </si>
  <si>
    <t>ANTARCTIC ICE; COLLAPSE; SHEET; OCEAN</t>
  </si>
  <si>
    <t>Sea level is projected to rise between 13 and 94 cm over the next 100 yr due to continued climate warming. The sea-level projections assume that polar ice sheets will remain stable or even increase on time scales of centuries, but controversial geologic evidence suggests that current polar ice sheets have been eliminated or greatly reduced during previous Pleistocene interglacials indicating that modern polar ice sheets have become unstable within the natural range of interglacial climates. Sea level may have been more than 20 m higher than today during a presumably very warm interglacial about 400 ka during marine isotope stage 11. Because of the implications for future sea level rise, additional study of the conflicting evidence for warmer conditions and higher sea level during marine isotope stage 11 is needed. Here we present microfossil and isotopic data from marine sediments of the Cariaco Basin supporting the interpretation that global sea level was 10-20 m higher than today during marine isotope stage 11. The increased sea level requires reduction in modern polar ice sheets and is consistent with the interpretation that the West Antarctic ice sheet and the Greenland ice sheet were absent or greatly reduced during marine isotope stage 11. Our results show a warm marine isotope stage 11 interglacial climate with sea level as high as or above modern sea level that lasted for 25 to 30 k.y. Variations in Earth's orbit around the sun (Milankovitch cycles) are considered to be a primary external force driving glacial-interglacial cycles. Current and marine isotope stage 11 Milankovitch forcing are very similar, suggesting that the present interglacial (Holocene) that began ca. 10 ka will continue for another 15 to 20 k.y. Therefore any anthropogenic climate warming will accelerate the natural process toward reduction in polar ice sheets. The potential for increased rates of sea level rise related to polar ice sheet decay should be considered as a potential natural hazard on centennial time scales.</t>
  </si>
  <si>
    <t>US Geol Survey, Natl Ctr 926, Reston, VA 20192 USA</t>
  </si>
  <si>
    <t>United States Department of the Interior; United States Geological Survey</t>
  </si>
  <si>
    <t>Poore, RZ (corresponding author), US Geol Survey, Natl Ctr 926, Reston, VA 20192 USA.</t>
  </si>
  <si>
    <t>Dowsett, Harry/0000-0003-1983-7524</t>
  </si>
  <si>
    <t>10.1130/0091-7613(2001)029&lt;0071:PROPIC&gt;2.0.CO;2</t>
  </si>
  <si>
    <t>WOS:000166441700018</t>
  </si>
  <si>
    <t>Pirog, OM; Polekh, NM; Chistyakova, LV; Zikrach, EK</t>
  </si>
  <si>
    <t>The study of ionospheric responses to magnetic storms in the Asian-Pacific region</t>
  </si>
  <si>
    <t>GEOMAGNETISM AND AERONOMY</t>
  </si>
  <si>
    <t>ANTARCTIC F-REGION; GEOMAGNETIC STORMS; LOW LATITUDES</t>
  </si>
  <si>
    <t>The effects of magnetic storms in the midlatitude and low-latitude ionosphere has been studied based on data of the ionopsheric stations located between 90 degrees and 160 degrees E and at geomagnetic latitudes from 51 degrees N to 69 degrees S. Intense magnetic storms observed at different levers of solar activity in equinox conditions are considered. It has been shown that the main effects of the considered storms are as follows: (I) prolonged intense negative disturbances at subauroral and mid-latitudes at the phases of storm development and recovery; (2) delay in the development of the f(0)F2 disturbance with decreasing latitude; (3) variations in the amplitude of f(0)F2 deviations at low latitudes, which had started at latitudes corresponding to L = 1.5; (4) mostly negative disturbances in the solar activity maximum and both negative and positive disturbances in the minimum of solar activity; and (5) positive disturbance in the dusk sector before a negative phase at subauroral and midlatitudes, which can be explained by the processes forming the main ionospheric trough early in the evening.</t>
  </si>
  <si>
    <t>Russian Acad Sci, Siberian Div, Inst Solar Terr Phys, Irkutsk 664033, Russia; Russian Acad Sci, Siberian Div, Inst Cosmophys Res &amp; Aeron, Yakutian Branch, Yakutsk 677891, Russia</t>
  </si>
  <si>
    <t>Irkutsk Science Centre of the Russian Academy of Sciences; Russian Academy of Sciences; Institute of Solar-Terrestrial Physics of the Siberian Branch of the Russian Academy of Sciences; Russian Academy of Sciences; Shafer Institute of Cosmophysical Research &amp; Aeronomy, Siberian Branch of the Russian Academy of Sciences</t>
  </si>
  <si>
    <t>Pirog, OM (corresponding author), Russian Acad Sci, Siberian Div, Inst Solar Terr Phys, POB 4026, Irkutsk 664033, Russia.</t>
  </si>
  <si>
    <t>MAIK NAUKA/INTERPERIODICA/SPRINGER</t>
  </si>
  <si>
    <t>233 SPRING ST, NEW YORK, NY 10013-1578 USA</t>
  </si>
  <si>
    <t>0016-7932</t>
  </si>
  <si>
    <t>1555-645X</t>
  </si>
  <si>
    <t>GEOMAGN AERONOMY+</t>
  </si>
  <si>
    <t>Geomagn. Aeron.</t>
  </si>
  <si>
    <t>JAN-FEB</t>
  </si>
  <si>
    <t>406HM</t>
  </si>
  <si>
    <t>WOS:000167208900010</t>
  </si>
  <si>
    <t>Despirak, IV; Yakhnin, AG; Lyubchich, AA</t>
  </si>
  <si>
    <t>Region of generation of high-latitude auroral arcs</t>
  </si>
  <si>
    <t>POLAR-CAP ARCS; SUN-ALIGNED ARCS; PLASMA SHEET; MAGNETIC-FIELD; BOUNDARY-LAYER; ELECTRON; RAIN; NORTHWARD; ION</t>
  </si>
  <si>
    <t>Thirty-one passes of the TIROS/NOAA satellites through the field of vision of Vostok Antarctic station have been considered during the observation of polar cap arcs. It has been shown that, in 88% of the cases, arcs were submerged into the region of energetic proton precipitation, which is the indicator of a precipitation from the magnetospheric plasma sheet. It has been indicated that the spectral index (the ratio of the flux of protons with energy &gt;30 keV to that of protons with energy &lt;20 keV) above polar cap arcs is similar to the index of precipitation in the auroral zone. The region of precipitation of energetic protons, as well as the region of high-latitude auroral arcs, is located outside the region of polar rain precipitation, which is an indicator of open field lines. On the basis of these data, it was concluded that the source of polar cap arcs is located on closed field lines in the magnetospheric plasma sheet.</t>
  </si>
  <si>
    <t>Russian Acad Sci, Kola Sci Ctr, Polar Geophys Inst, Apatity 184200, Murmansk Oblast, Russia</t>
  </si>
  <si>
    <t>Russian Academy of Sciences; Kola Science Centre of the Russian Academy of Sciences; Polar Geophysical Institute</t>
  </si>
  <si>
    <t>Despirak, IV (corresponding author), Russian Acad Sci, Kola Sci Ctr, Polar Geophys Inst, Ul Fersmana 14, Apatity 184200, Murmansk Oblast, Russia.</t>
  </si>
  <si>
    <t>Yahnin, Alexander/B-5254-2014; Despirak, Irina/A-5711-2017</t>
  </si>
  <si>
    <t>Yahnin, Alexander/0000-0003-1650-5436; Despirak, Irina/0000-0001-5756-4163</t>
  </si>
  <si>
    <t>INTERPERIODICA</t>
  </si>
  <si>
    <t>BIRMINGHAM</t>
  </si>
  <si>
    <t>PO BOX 1831, BIRMINGHAM, AL 35201-1831 USA</t>
  </si>
  <si>
    <t>WOS:000167208900018</t>
  </si>
  <si>
    <t>Whitehead, JA; Salzig, J</t>
  </si>
  <si>
    <t>Rotating channel flow: Control and upstream currents</t>
  </si>
  <si>
    <t>GEOPHYSICAL AND ASTROPHYSICAL FLUID DYNAMICS</t>
  </si>
  <si>
    <t>rotating flow; hydraulic control; currents; turntable experiments</t>
  </si>
  <si>
    <t>ANTARCTIC BOTTOM WATER; HYDRAULICALLY DRAINED FLOWS; DEEP-WATER; TOPOGRAPHIC CONTROL; BOUNDARY CURRENTS; INERTIAL FLOW; GRAVITY; FLUX; ADJUSTMENT; CIRCULATION</t>
  </si>
  <si>
    <t>Theory and experiments are presented for critically controlled flow of a layer of inviscid rotating fluid. Flow is controlled by a level passage. For a wide upstream channel of fixed depth (i.e. constant potential vorticity) the volume flux on the right-hand wall is unaffected by passage flow. This suggests that specifying Bernoulli potential on the right-hand passage wall produces a physically well-posed condition. The specification results in one less dimensionless number than was required by previous formulations to specify flow in the controlled passage. The upstream flow needs the same number as before, so that a range of upstream conditions produce exactly the same passage flow. A laboratory study is conducted using a thin layer of water under air. This is pumped in steadily at various locations in a deep rotating upstream basin, with fluid leaving through a level passage. All currents in the upstream basin cross to the left-hand wall as the current approaches the passage over a sloping bottom. The current crosses back to the right-hand wall within the passage. Velocity profiles of currents agree reasonably well with constant potential vorticity theory. To the right of the detached upstream current is a closed gyre that connects the upstream flows (that have different patterns depending on source location) with the unique passage flows. The results suggest that gyres upstream of critically controlling passages in the ocean might serve as adjustment regions between the relatively unconstrained upstream flows and the tightly controlled passage flows.</t>
  </si>
  <si>
    <t>Woods Hole Oceanog Inst, Dept Phys Oceanog, Woods Hole, MA 02543 USA</t>
  </si>
  <si>
    <t>Woods Hole Oceanographic Institution</t>
  </si>
  <si>
    <t>Whitehead, JA (corresponding author), POB 1158, Ellsworth, ME 04605 USA.</t>
  </si>
  <si>
    <t>jwhitehead@whoi.edu</t>
  </si>
  <si>
    <t>TAYLOR &amp; FRANCIS LTD</t>
  </si>
  <si>
    <t>ABINGDON</t>
  </si>
  <si>
    <t>2-4 PARK SQUARE, MILTON PARK, ABINGDON OR14 4RN, OXON, ENGLAND</t>
  </si>
  <si>
    <t>0309-1929</t>
  </si>
  <si>
    <t>1029-0419</t>
  </si>
  <si>
    <t>GEOPHYS ASTRO FLUID</t>
  </si>
  <si>
    <t>Geophys. Astrophys. Fluid Dyn.</t>
  </si>
  <si>
    <t>3-4</t>
  </si>
  <si>
    <t>10.1080/03091920108203725</t>
  </si>
  <si>
    <t>Astronomy &amp; Astrophysics; Geochemistry &amp; Geophysics; Mechanics</t>
  </si>
  <si>
    <t>631FT</t>
  </si>
  <si>
    <t>WOS:000180158000001</t>
  </si>
  <si>
    <t>Berkey, FT; Fish, CS; Jones, GOL</t>
  </si>
  <si>
    <t>Initial observations of mesospheric winds using IDI radar measurements at the Bear Lake Observatory</t>
  </si>
  <si>
    <t>GEOPHYSICAL RESEARCH LETTERS</t>
  </si>
  <si>
    <t>IMAGING DOPPLER INTERFEROMETER; TEMPERATURE; ANTARCTICA; HALLEY</t>
  </si>
  <si>
    <t>The adaptation of Imaging Doppler Interferometry (IDI) to the dynasonde deployed at the Bear Lake Observatory (41.9 degreesN, 111.4 degreesW) in northeastern Utah enables the routine measurement of mesospheric dynamics. Influenced by the direction of the prevailing wind, a clear seasonal variation is seen in the mesospheric echo numbers. The technique also provides a monitor for the amplitude of the main tidal modes as well as for studying planetary waves with periods of several days. The observations are found to be consistent with those from different instruments based at the same site thus confirming the IDI characterisation of the mesospheric wind field.</t>
  </si>
  <si>
    <t>Utah State Univ, Space Dynam Lab, Logan, UT 84322 USA; British Antarctic Survey, NERC, Cambridge CB3 0ET, England</t>
  </si>
  <si>
    <t>Utah System of Higher Education; Utah State University; UK Research &amp; Innovation (UKRI); Natural Environment Research Council (NERC); NERC British Antarctic Survey</t>
  </si>
  <si>
    <t>Berkey, FT (corresponding author), Utah State Univ, Space Dynam Lab, Logan, UT 84322 USA.</t>
  </si>
  <si>
    <t>AMER GEOPHYSICAL UNION</t>
  </si>
  <si>
    <t>WASHINGTON</t>
  </si>
  <si>
    <t>2000 FLORIDA AVE NW, WASHINGTON, DC 20009 USA</t>
  </si>
  <si>
    <t>0094-8276</t>
  </si>
  <si>
    <t>GEOPHYS RES LETT</t>
  </si>
  <si>
    <t>Geophys. Res. Lett.</t>
  </si>
  <si>
    <t>JAN 1</t>
  </si>
  <si>
    <t>10.1029/2000GL011854</t>
  </si>
  <si>
    <t>390JD</t>
  </si>
  <si>
    <t>Bronze, Green Submitted</t>
  </si>
  <si>
    <t>WOS:000166291200036</t>
  </si>
  <si>
    <t>Crutzen, PJ</t>
  </si>
  <si>
    <t>Bengtsson, LO; Hammer, CU</t>
  </si>
  <si>
    <t>The Antarctic ozone hole, a human-caused chemical instability in the stratosphere - What should we learn from it?</t>
  </si>
  <si>
    <t>GEOSPHERE-BIOSPHERE INTERACTIONS AND CLIMATE</t>
  </si>
  <si>
    <t>Vatican Conference on Geosphere-Biosphere Interactions and Climate</t>
  </si>
  <si>
    <t>NOV 09-13, 1998</t>
  </si>
  <si>
    <t>VATICAN CITY, VATICAN</t>
  </si>
  <si>
    <t>HYDROGEN-CHLORIDE; CLOUD FORMATION; DESTRUCTION; ATMOSPHERE; DEPLETION; NITRATE; LOSSES; WINTER; TRENDS</t>
  </si>
  <si>
    <t>Atmospheric ozone plays a critical role in limiting the penetration of biologically harmful, solar ultraviolet radiation to the Earth surface. Furthermore, the absorption of ultraviolet radiation from the Sun and infrared radiation emitted from the Earth's warm surface influence temperatures in the lower stratosphere, creating dynamically stable conditions with strongly reduced vertical exchange. Through industrial emissions, ozone-depleting catalysts have increasingly been produced in the stratosphere, leading to reductions in ozone. The situation is especially grave during springtime over Antarctica, where, since the 1980s, each year almost all ozone in the 14-22 km height region is chemically destroyed. This so-called ozone hole was not predicted by any model and came as a total surprise to all scientists. The ozone hole developed at a least likely location. Through the emissions of chlorofluorocarbons, humankind has created a chemical instability, leading to rapid loss of ozone. A question is whether there may be other instabilities that might be triggered in the environment by human activities.</t>
  </si>
  <si>
    <t>Max Planck Inst Chem, D-55020 Mainz, Germany</t>
  </si>
  <si>
    <t>Max Planck Society</t>
  </si>
  <si>
    <t>Crutzen, PJ (corresponding author), Max Planck Inst Chem, POB 3060, D-55020 Mainz, Germany.</t>
  </si>
  <si>
    <t>Crutzen, Paul J/F-6044-2012</t>
  </si>
  <si>
    <t>0-521-78238-4</t>
  </si>
  <si>
    <t>10.1017/CBO9780511529429.004</t>
  </si>
  <si>
    <t>Geochemistry &amp; Geophysics; Meteorology &amp; Atmospheric Sciences</t>
  </si>
  <si>
    <t>BT35D</t>
  </si>
  <si>
    <t>WOS:000172716500001</t>
  </si>
  <si>
    <t>Burkins, MB; Virginia, RA; Wall, DH</t>
  </si>
  <si>
    <t>Organic carbon cycling in Taylor Valley, Antarctica: quantifying soil reservoirs and soil respiration</t>
  </si>
  <si>
    <t>GLOBAL CHANGE BIOLOGY</t>
  </si>
  <si>
    <t>Antarctica; carbon cycling; CO2; organic carbon; soil respiration; Taylor Valley</t>
  </si>
  <si>
    <t>FRYXELL BASIN; POLAR DESERT; DRY VALLEYS; MATTER; LAKES; MICROORGANISMS; NEMATODES; CLIMATE; LAND</t>
  </si>
  <si>
    <t>Organic carbon reservoirs and respiration rates in soils have been calculated for most major biomes on Earth revealing patterns related to temperature, precipitation, and location. Yet data from one of the Earth's coldest, driest, and most southerly soil ecosystems, that of the McMurdo Dry Valleys of Antarctica, are currently not a part of this global database. In this paper, we present the first regional calculations of the sail organic carbon reservoirs in a dry valley ecosystem (Taylor Valley) and report measurements of CO2 efflux from Antarctic soils. Our analyses indicate that, despite the absence of visible accumulations of organic matter in most of Taylor Valley's arid soils, this soil environment contained a significant percentage (up to 72%) of the seasonally unfrozen organic carbon reservoir in the terrestrial ecosystem. Field measurements of soil CO2-efflux in Taylor Valley soils were used to evaluate biotic respiration and averaged 0.10 +/- 0.08 mu mol CO2 m(-2) s(-1). Laboratory soil microcosms suggested that this respiration rate was sensitive to increases in temperature, moisture, and carbon addition. Finally, a steady-state calculation of the mean residence time for organic carbon in Taylor Valley soils was 23 years. because this value contradicts all that is currently known about carbon cycling rates in the dry valleys, we suggest that the dry valley soil carbon dynamics is not steady state. Instead, we suggest that the dynamic is complex, with at least two (short- and la,ng-term) organic carbon reservoirs. We also suggest that organic carbon in the dry valley soil environment may be more important, and play a more active role in long-term ecosystem processes, than previously believed.</t>
  </si>
  <si>
    <t>Dartmouth Coll, Dept Earth Sci, Hanover, NH 03755 USA; Dartmouth Coll, Environm Studies Program, Hanover, NH 03755 USA; Colorado State Univ, Nat Resource Ecol Lab, Ft Collins, CO 80523 USA</t>
  </si>
  <si>
    <t>Dartmouth College; Dartmouth College; Colorado State University</t>
  </si>
  <si>
    <t>Burkins, MB (corresponding author), Dartmouth Coll, Dept Earth Sci, Hanover, NH 03755 USA.</t>
  </si>
  <si>
    <t>Wall, Diana H/F-5491-2011</t>
  </si>
  <si>
    <t>1354-1013</t>
  </si>
  <si>
    <t>GLOB CHANGE BIOL</t>
  </si>
  <si>
    <t>Glob. Change Biol.</t>
  </si>
  <si>
    <t>10.1046/j.1365-2486.2001.00393.x</t>
  </si>
  <si>
    <t>Biodiversity Conservation; Ecology; Environmental Sciences</t>
  </si>
  <si>
    <t>Biodiversity &amp; Conservation; Environmental Sciences &amp; Ecology</t>
  </si>
  <si>
    <t>406UZ</t>
  </si>
  <si>
    <t>WOS:000167235600008</t>
  </si>
  <si>
    <t>S</t>
  </si>
  <si>
    <t>Roscoe, HK; Lee, AM</t>
  </si>
  <si>
    <t>Chakrabarty, DK; Roscoe, HK; Blix, TA</t>
  </si>
  <si>
    <t>Increased stratospheric greenhouse gases could delay recovery of the ozone hole and of ozone loss at southern mid-latitudes</t>
  </si>
  <si>
    <t>GREENHOUSE GASES, AEROSOLS AND DUST</t>
  </si>
  <si>
    <t>ADVANCES IN SPACE RESEARCH</t>
  </si>
  <si>
    <t>C2 2/C2 5 Symposium of COSPAR Scientific Commission C held at the 33rd COSPAR Scientific Assembly</t>
  </si>
  <si>
    <t>JUL, 2000</t>
  </si>
  <si>
    <t>WARSAW, POLAND</t>
  </si>
  <si>
    <t>WATER-VAPOR</t>
  </si>
  <si>
    <t>Stratospheric H2O is increasing, and may be responsible for a large part of the observed cooling of the lower stratosphere. Further cooling will lead to more PSCs in the edge of the Antarctic stratospheric vortex in spring, though not in the vortex core which already becomes cold enough for near-continuous PSCs. A new diagnostic of mixing, plus measurements of H2O, show that the vortex edge is weakly mixed with the core until late in the spring. This isolation will allow any increase in PSCs to result in continued severe ozone loss, despite reduced chlorine due to the Montreal Protocol. The isolated edge region is half the area of the ozone hole. It frequently passes over southern South America late enough in the spring for major UV damage, and in summer the broken-up ozone hole contributes to significant hemisphere-wide ozone loss. (C) 2001 COSPAR. Published by Elsevier Science Ltd. All rights reserved.</t>
  </si>
  <si>
    <t>British Antarctic Survey, NERC, Cambridge CB3 0ET, England; CCAS, Dept Chem, Cambridge CB2 1EW, England</t>
  </si>
  <si>
    <t>UK Research &amp; Innovation (UKRI); Natural Environment Research Council (NERC); NERC British Antarctic Survey; University of Cambridge</t>
  </si>
  <si>
    <t>Roscoe, HK (corresponding author), British Antarctic Survey, NERC, Madingley Rd, Cambridge CB3 0ET, England.</t>
  </si>
  <si>
    <t>ELSEVIER SCIENCE BV</t>
  </si>
  <si>
    <t>AMSTERDAM</t>
  </si>
  <si>
    <t>SARA BURGERHARTSTRAAT 25, PO BOX 211, 1000 AE AMSTERDAM, NETHERLANDS</t>
  </si>
  <si>
    <t>0273-1177</t>
  </si>
  <si>
    <t>ADV SPACE RES</t>
  </si>
  <si>
    <t>10.1016/S0273-1177(01)80025-9</t>
  </si>
  <si>
    <t>Engineering, Aerospace; Astronomy &amp; Astrophysics; Geosciences, Multidisciplinary; Meteorology &amp; Atmospheric Sciences</t>
  </si>
  <si>
    <t>Engineering; Astronomy &amp; Astrophysics; Geology; Meteorology &amp; Atmospheric Sciences</t>
  </si>
  <si>
    <t>BT60L</t>
  </si>
  <si>
    <t>WOS:000173494800006</t>
  </si>
  <si>
    <t>Krivolutsky, AA</t>
  </si>
  <si>
    <t>Ozone variability of long-term scale near polar regions and its connection to basic atmospheric condition</t>
  </si>
  <si>
    <t>ANTARCTIC OZONE; HOLE</t>
  </si>
  <si>
    <t>The role of a specific atmospheric condition (low air pressure) over South Pole in the stratospheric gas-phase photochemistry has been investigated based on analysis and photochemical numerical modeling. The results show a strong correlation between air pressure deficit over polar region and column ozone. The ozone content after sunrise in Antarctica is found to have reduction which looks like ozone hole. So, it is possible to obtain some simplified solutions from gas-phase stratospheric photochemical system if annual cycle in pressure is taken into account. The physical explanation of this effect is based on Chapman ozone theory. (C) 2001 COSPAR. Published by Elsevier Science Ltd. All rights reserved.</t>
  </si>
  <si>
    <t>CAO, Cent Aerolog Observ, Dolgoprudnyi 141700, Moscow Region, Russia</t>
  </si>
  <si>
    <t>Krivolutsky, AA (corresponding author), CAO, Cent Aerolog Observ, Pervomayskaya Str 3, Dolgoprudnyi 141700, Moscow Region, Russia.</t>
  </si>
  <si>
    <t>10.1016/S0273-1177(01)80026-0</t>
  </si>
  <si>
    <t>WOS:000173494800007</t>
  </si>
  <si>
    <t>Andrés, E; Askebjer, P; Bai, X; Barouch, G; Barwick, SW; Bay, RC; Becker, KH; Bergström, L; Bertrand, D; Bierenbaum, D; Biron, A; Booth, J; Botner, O; Bouchta, A; Boyce, MM; Carius, S; Chen, A; Chirkin, D; Conrad, J; Cooley, J; Costa, CGS; Cowen, DF; Dailing, J; Dalberg, E; DeYoung, T; Desiati, P; Dewulf, JP; Doksus, P; Edsjö, J; Ekström, P; Erlandsson, B; Feser, T; Gaug, M; Goldschmidt, A; Goobar, A; Gray, L; Haase, H; Hallgren, A; Halzen, F; Hanson, K; Hardtke, R; He, YD; Hellwig, M; Heukenkamp, H; Hill, GC; Hulth, PO; Hundertmark, S; Jacobsen, J; Kandhadai, V; Karle, A; Kim, J; Koci, B; Köpke, L; Kowalski, M; Leich, H; Leuthold, M; Lindahl, P; Liubarsky, I; Loaiza, P; Lowder, DM; Ludvig, J; Madsen, J; Marciniewski, P; Matis, HS; Mihalyi, A; Mikolajski, T; Miller, TC; Minaeva, Y; Miocinovic, P; Mock, PC; Morse, R; Neunhöffer, T; Newcomer, FM; Niessen, P; Nygren, DR; Ogelman, H; de los Heros, CP; Porrata, R; Price, PB; Rawlins, K; Reed, C; Rhode, W; Richards, A; Richter, S; Martino, JR; Romenesko, P; Ross, D; Rubinstein, H; Sander, HG; Scheider, T; Schmidt, T; Schneider, D; Schneider, E; Schwarz, R; Silvestri, A; Solarz, M; Spiczak, GM; Spiering, C; Starinsky, N; Steele, D; Steffen, P; Stokstad, RG; Streicher, O; Sun, Q; Taboada, I; Thollander, L; Thon, T; Tilav, S; Usechak, N; Vander Donckt, M; Walck, C; Weinheimer, C; Wiebusch, CH; Wischnewski, R; Wissing, H; Woschnagg, K; Wu, W; Yodh, G; Young, S</t>
  </si>
  <si>
    <t>Lim, CS; Yamanaka, T</t>
  </si>
  <si>
    <t>AMANDA Collaboration</t>
  </si>
  <si>
    <t>Selected recent results from AMANDA</t>
  </si>
  <si>
    <t>HIGH ENERGY PHYSICS, VOLS I AND II</t>
  </si>
  <si>
    <t>30th International Conference on High Energy Physics</t>
  </si>
  <si>
    <t>JUL 27-AUG 02, 2000</t>
  </si>
  <si>
    <t>OSAKA, JAPAN</t>
  </si>
  <si>
    <t>We present a selection of results based on data taken in 1997 with the 302-PMT Antarctic Muon and Neutrino Detector Array-B10 (AMANDA-B10) array. Atmospheric neutrinos created in the northern hemisphere are observed indirectly through their charged current interactions which produce relativistic, Cherenkov-light-emitting upgoing muons in the South Pole ice cap. The reconstructed angular distribution of these events is in good agreement with expectation and demonstrates the viability of this ice-based device as a neutrino telescope. Studies of nearly vertical upgoing mucus limit the available parameter space for WIMP dark matter under the assumption that WIMPs are trapped in the earth's gravitational potential well and annihilate with one another near the earth's center.</t>
  </si>
  <si>
    <t>Univ Wisconsin, Dept Phys, Madison, WI 53706 USA</t>
  </si>
  <si>
    <t>University of Wisconsin System; University of Wisconsin Madison</t>
  </si>
  <si>
    <t>Hundertmark, Stephan/A-6592-2010; Kowalski, Marek P/G-5546-2012; DeYoung, Tyce/O-6895-2019; Matis, Howard/AAO-2082-2021; Gaug, Markus/L-2340-2014; Botner, Olga/A-9110-2013; Hallgren, Allan/A-8963-2013; Wiebusch, Christopher H.V./G-6490-2012; Loaiza, Pia/D-5861-2013; Matis, Howard S/HMV-9747-2023</t>
  </si>
  <si>
    <t>DeYoung, Tyce/0000-0003-4873-3783; Gaug, Markus/0000-0001-8442-7877; Wiebusch, Christopher H.V./0000-0002-6418-3008; Matis, Howard S/0000-0003-0764-4389</t>
  </si>
  <si>
    <t>WORLD SCIENTIFIC PUBL CO PTE LTD</t>
  </si>
  <si>
    <t>SINGAPORE</t>
  </si>
  <si>
    <t>PO BOX 128 FARRER RD, SINGAPORE 9128, SINGAPORE</t>
  </si>
  <si>
    <t>981-02-4533-5</t>
  </si>
  <si>
    <t>Physics, Particles &amp; Fields</t>
  </si>
  <si>
    <t>Physics</t>
  </si>
  <si>
    <t>BT15B</t>
  </si>
  <si>
    <t>WOS:000172097500213</t>
  </si>
  <si>
    <t>Milan, SE; Lester, M; Dudeney, JR; Greenwald, RA; Sofko, G; Villain, JP; Lepping, RP</t>
  </si>
  <si>
    <t>VanEyken, AP; Lovhaug, UP; Remedios, J</t>
  </si>
  <si>
    <t>The excitation of convection in the cusp region as observed by the superDARN radars</t>
  </si>
  <si>
    <t>HIGH LATITUDE STUDIES AND UPPER ATMOSPHERIC PROCESSES INCLUDING CLIMATE CHANGE</t>
  </si>
  <si>
    <t>C1 3/A1 3 Symposium of COSPAR Scientific Commissions C and A held at the 32nd COSPAR Scientific Assembly</t>
  </si>
  <si>
    <t>JUL, 1998</t>
  </si>
  <si>
    <t>NAGOYA, JAPAN</t>
  </si>
  <si>
    <t>HF RADARS; EVENTS</t>
  </si>
  <si>
    <t>SuperDARN observations from the interval 1330 UT to 1500 UT, 17 April 1996, are presented. During this interval, five radars covered 12 hours of magnetic local time on the dayside, including the cusp region, in the Northern hemisphere, and one observed the cusp region in the Southern hemisphere. In response to a southward turning of the interplanetary magnetic field, backscatter appears in all radar fields-of-view, first in the cusp region and then in the dawn and dusk sectors after a delay consistent with an anti-sunward propagation speed of 1.5 km s(-1). In the Northern hemisphere cusp region, antisunward plasma drift and poleward-moving forms are observed with a 10 min periodicity, which is typically the radar signature of flux transfer events. Such signatures of transient reconnection are not seen in the Southern hemisphere cusp region, where predominantly azimuthal plasma drift is observed. In the dawn and dusk sectors, the radars observe sunward plasma drift in the convection return flow region, and transient, sunward-moving backscatter features which have a periodicity of approximately 10 mins. (C) 2001 COSPAR. Published by Elsevier Science Ltd. All rights reserved.</t>
  </si>
  <si>
    <t>Univ Leicester, Dept Phys &amp; Astron, Leicester LE1 7RH, Leics, England; British Antarctic Survey, Cambridge CB3 0ET, England; Johns Hopkins Univ, Appl Phys Lab, Baltimore, MD 21218 USA; Univ Saskatchewan, Saskatoon, SK S7N 0W0, Canada; CNRS, F-45071 Orleans, France</t>
  </si>
  <si>
    <t>University of Leicester; UK Research &amp; Innovation (UKRI); Natural Environment Research Council (NERC); NERC British Antarctic Survey; Johns Hopkins University; Johns Hopkins University Applied Physics Laboratory; University of Saskatchewan; Centre National de la Recherche Scientifique (CNRS)</t>
  </si>
  <si>
    <t>Milan, SE (corresponding author), Univ Leicester, Dept Phys &amp; Astron, Leicester LE1 7RH, Leics, England.</t>
  </si>
  <si>
    <t>Greenwald, Raymond/0000-0002-7421-5536; Milan, Steve/0000-0001-5050-9604</t>
  </si>
  <si>
    <t>10.1016/S0273-1177(01)00028-X</t>
  </si>
  <si>
    <t>BS99Y</t>
  </si>
  <si>
    <t>WOS:000171627800002</t>
  </si>
  <si>
    <t>Smith, PR; Dyson, PL; Monselesan, DP; Morris, RJ</t>
  </si>
  <si>
    <t>Comparison of high-latitude ionosonde drifts with a convection model</t>
  </si>
  <si>
    <t>PATTERNS</t>
  </si>
  <si>
    <t>A comparison of averaged ionospheric F-region drifts measured by a digital ionosonde at Casey, Antarctica is made with convection patterns from the Weimer (1995) electric potential model. Significant changes occur in the average diurnal flow vectors over Casey as the Interplanetary Magnetic Field angle in the By-Bz plane is varied. Steps of 30 degrees in By-Bz angle show the evolution of the measured convection as Bz turns from southward to northward through +/-By. This results in drifts that vary respectively from anti-sunward to sunward on the dayside. These changes compare favourably with the Weimer patterns as the two-cell pattern distorts and forms a three- and four-cell pattern when the IMF is respectively within similar to 60 degrees and similar to 30 degrees of Bz due north. At most IMF angles, drift directions are usually within 20 degrees and speeds within 100 m/s of the model predictions. The best direction/speed agreement do not coincide at one IMF angle, being mostly dependent on the strength of flows and the position of convection cell centers. (C) 2001 COSPAR. Published by Elsevier Science Ltd. All rights reserved.</t>
  </si>
  <si>
    <t>La Trobe Univ, Dept Elect Engn, Bundoora, Vic 3083, Australia; La Trobe Univ, Dept Phys, Bundoora, Vic 3083, Australia; Australian Antarctic Div, Kingston, Tas 7050, Australia</t>
  </si>
  <si>
    <t>La Trobe University; La Trobe University; Australian Antarctic Division</t>
  </si>
  <si>
    <t>Smith, PR (corresponding author), La Trobe Univ, Dept Elect Engn, Bundoora, Vic 3083, Australia.</t>
  </si>
  <si>
    <t>Monselesan, Didier/A-2327-2012</t>
  </si>
  <si>
    <t>Monselesan, Didier/0000-0002-0310-8995</t>
  </si>
  <si>
    <t>10.1016/S0273-1177(01)00029-1</t>
  </si>
  <si>
    <t>WOS:000171627800003</t>
  </si>
  <si>
    <t>Parkinson, ML; Dyson, PL; Monselesan, DP; Morris, RJ</t>
  </si>
  <si>
    <t>Formation of sporadic E-layers by magnetospheric electric fields in the southern polar cap ionosphere</t>
  </si>
  <si>
    <t>DIRECTION</t>
  </si>
  <si>
    <t>The occurrence of ionospheric electric fields and sporadic E (Es)-layers were measured with a modem, HF digital ionosonde located at Casey, Antarctica (81 degreesS corrected geomagnetic latitude) during the late austral summer of 1995/96. The observations show that Es-layers had a peak occurrence near to magnetic midnight under the influence of south-west electric fields generated by the solar wind-magnetosphere interaction. Our results are consistent with the standard theory of thin Es-layer formation by electric fields applied to the southern hemisphere, and they complement the basic prediction that north-west electric fields will produce thin Es layers at high latitudes in the northern hemisphere. Hence the magnitude and orientation of the interplanetary magnetic field must be a major factor in the control of Es-occurrence at high latitudes. (C) 2001 COSPAR. Published by Elsevier Science Ltd. All rights reserved.</t>
  </si>
  <si>
    <t>La Trobe Univ, Sch Phys, Bundoora, Vic 3083, Australia; Australian Antarctic Div, Kingston, Tas 7050, Australia</t>
  </si>
  <si>
    <t>La Trobe University; Australian Antarctic Division</t>
  </si>
  <si>
    <t>Parkinson, ML (corresponding author), La Trobe Univ, Sch Phys, Bundoora, Vic 3083, Australia.</t>
  </si>
  <si>
    <t>10.1016/S0273-1177(01)00037-0</t>
  </si>
  <si>
    <t>WOS:000171627800008</t>
  </si>
  <si>
    <t>Domack, E; Leventer, A; Dunbar, R; Taylor, F; Brachfeld, S; Sjunneskog, C; Cowan, E; Daniels, JW; Escutia, C; Evans, A; Eyles, N; Guyodo, Y; Iorio, M; Iwai, M; Kyte, F; Lauer, C; Maldonado, A; Morez, T; Osterman, L; Pudsey, C; Schuffert, J; Vigar, K; Weinheimer, A; Williams, T; Winter, D; Wolf-Welling, TCW</t>
  </si>
  <si>
    <t>ODP Leg 178 Sci Party</t>
  </si>
  <si>
    <t>Chronology of the Palmer Deep site, Antarctic Peninsula: a Holocene palaeoenvironmental reference for the circum-Antarctic</t>
  </si>
  <si>
    <t>HOLOCENE</t>
  </si>
  <si>
    <t>chronology; spectral analysis; periodicity; Palmer Deep; Antarctic Peninsula; Holocene; radiocarbon; sedimentology</t>
  </si>
  <si>
    <t>ROSS SEA; MARINE; ICE; CLIMATE; RADIOCARBON; STRATIGRAPHY; CIRCULATION; LINKAGES; RETREAT; RECORD</t>
  </si>
  <si>
    <t>Palmer Deep sediment cores are used to produce the first high-resolution, continuous late Pleistocene to Holocene time-series from the Antarctic marine system. The sedimentary record is dated using accelerator mass spectrometer radiocarbon methods on acid insoluble organic matter and foraminiferal calcite. Fifty-four radiocarbon analyses are utilized in the dating which provides a calibrated timescale back to 13 ka BP. Reliability of resultant ages on organic matter is assured because duplicates produce a standard deviation from the surface age of less than laboratory error (i.e., +/-50 years). In addition, surface organic matter ages at the site are in excellent agreement with living calcite ages at the accepted reservoir age of similar to 1260 years for the Antarctic Peninsula. Spectral analyses of the magnetic susceptibility record against the age model reveal unusually strong periodicity in the 400, similar to 200 and 50-70 year frequency bands, similar to other high-resolution records from the Holocene but, so far, unique for the circum-Antarctic, Hen we show that comparison to ice-core records of specific climatic events (e.g., the 'Little Ice Age', Neoglacial, Hypsithermal, and the Bolling/Allerod to Younger Dryas transition) provides improved focus upon the relative timing of atmosphere/ocean changes between the northern and southern high latitudes.</t>
  </si>
  <si>
    <t>Hamilton Coll, Dept Geol, Clinton, NY 13323 USA; Colgate Univ, Dept Geol, Hamilton, NY 13346 USA; Stanford Univ, Dept Geog &amp; Environm Sci, Stanford, CA 94305 USA; Univ Minnesota, Inst Rock Magnetism, Minneapolis, MN 55455 USA; Uppsala Univ, Inst Earth Sci, S-75236 Uppsala, Sweden</t>
  </si>
  <si>
    <t>Hamilton College; Colgate University; Stanford University; University of Minnesota System; University of Minnesota Twin Cities; Uppsala University</t>
  </si>
  <si>
    <t>Hamilton Coll, Dept Geol, Clinton, NY 13323 USA.</t>
  </si>
  <si>
    <t>Iorio, Marina/HPL-2001-2023; guyodo, yohan/R-5079-2018; Escutia, Carlota/B-8614-2015</t>
  </si>
  <si>
    <t>Iorio, Marina/0000-0003-0278-0883; guyodo, yohan/0000-0003-0485-5949; Leventer, Amy/0000-0001-9401-0987; Brachfeld, Stefanie/0000-0003-4612-2866; Escutia, Carlota/0000-0002-4932-8619; Dunbar, Robert/0000-0002-9728-5609</t>
  </si>
  <si>
    <t>SAGE PUBLICATIONS LTD</t>
  </si>
  <si>
    <t>LONDON</t>
  </si>
  <si>
    <t>1 OLIVERS YARD, 55 CITY ROAD, LONDON EC1Y 1SP, ENGLAND</t>
  </si>
  <si>
    <t>0959-6836</t>
  </si>
  <si>
    <t>1477-0911</t>
  </si>
  <si>
    <t>Holocene</t>
  </si>
  <si>
    <t>10.1191/095968301673881493</t>
  </si>
  <si>
    <t>Geography, Physical; Geosciences, Multidisciplinary</t>
  </si>
  <si>
    <t>Physical Geography; Geology</t>
  </si>
  <si>
    <t>392FN</t>
  </si>
  <si>
    <t>WOS:000166400800001</t>
  </si>
  <si>
    <t>Roberts, D; van Ommen, TD; McMinn, A; Morgan, V; Roberts, JL</t>
  </si>
  <si>
    <t>Late-Holocene East Antarctic climate trends from ice-core and lake-sediment proxies</t>
  </si>
  <si>
    <t>palaeoclimate; lacustrine sediment; Law Dome; ice core; delta O-18; oxygen isotopes; diatoms; salinity; late Holocene; Vestfold Hills; Antarctica</t>
  </si>
  <si>
    <t>VESTFOLD HILLS; ACE LAKE; SEASONALITY; SALINITY; HISTORY</t>
  </si>
  <si>
    <t>A high-resolution record of evaporation for the last similar to 650 years was derived from the diatom-salinity signal preserved in a sediment core taken from Ace Lake, Vestfold Hills (68 degrees 28'S, 78 degrees 11'E), Antarctica. The seasonal oxygen isotope signal preserved in an ice core from Law Dome (66 degrees 44'S, 112 degrees 50'E), Antarctica, revealed a high-resolution summer temperature record for the same time period. The two proxies show highly correlated behaviour despite having significantly different climatic response mechanisms and a large geographic separation. The correlation observed between proxies based on such differing processes and analytical methodologies provides not only a climate record for the past similar to 650 years that is both robust and regionally representative of coastal East Antarctica but also confirmation of the utility of reconstructions using these methods.</t>
  </si>
  <si>
    <t>Univ Tasmania, Inst Antarctic &amp; So Ocean Studies, Hobart, Tas 7001, Australia; Antarctic CRC, Hobart, Tas 7001, Australia; Australian Antarctic Div, Hobart, Tas 7001, Australia</t>
  </si>
  <si>
    <t>University of Tasmania; Australian Antarctic Division</t>
  </si>
  <si>
    <t>Roberts, D (corresponding author), Univ Tasmania, Inst Antarctic &amp; So Ocean Studies, GPO Box 252-77, Hobart, Tas 7001, Australia.</t>
  </si>
  <si>
    <t>Roberts, Jason L/B-2235-2012; McMinn, Andrew/A-9910-2008; van Ommen, Tas/B-5020-2012</t>
  </si>
  <si>
    <t>Roberts, Jason L/0000-0002-3477-4069; Roberts, Donna/0000-0001-6701-6662; van Ommen, Tas/0000-0002-2463-1718</t>
  </si>
  <si>
    <t>ARNOLD, HODDER HEADLINE PLC</t>
  </si>
  <si>
    <t>338 EUSTON ROAD, LONDON NW1 3BH, ENGLAND</t>
  </si>
  <si>
    <t>10.1191/095968301677143452</t>
  </si>
  <si>
    <t>WOS:000166400800011</t>
  </si>
  <si>
    <t>Taylor, F; McMinn, A</t>
  </si>
  <si>
    <t>Evidence from diatoms for Holocene climate fluctuation along the East Antarctic margin</t>
  </si>
  <si>
    <t>diatoms; climatic change; sea ice; sediment; Chaetoceros resting spores; Corethron criophilum; East Antarctic; Holocene</t>
  </si>
  <si>
    <t>PRYDZ-BAY; CONTINENTAL-SHELF; ROSS SEA; ICE-SHEET; SEDIMENTS; DISTRIBUTIONS; PRODUCTIVITY; LITHOFACIES; ADVANCE; FACIES</t>
  </si>
  <si>
    <t>Diatom assemblages in two Holocene sediment cores (GC1 and GC2) from the Mac. Robertson Shelf, East Antarctica, are compared with modern sedimentary diatom assemblages from the same area. Open marine deposition commenced in Iceberg Alley (GC1), on the outer continental shelf, &gt;10.7 adj. C-14 kyr BP. Chaetoceros resting spores, which may indicate water-column stabilization from melting glacial and/or sea ice or the maximum summer sea-ice retreat, dominate the diatom assemblage. Approximately 7.5 adj. C-14 kyr BP, a sea-ice diatom assemblage was deposited. This assemblage is similar to that being deposited in the surface sediments of the Mac. Robertson Shelf today and suggests that perennial sea ice has persisted in the vicinity of Iceberg Alley since that time. Interbedded within the sea-ice assemblage, however, are Corethron-rich sediment layers that suggest mid- to late-Holocene high-productivity events associated with a climatic optimum. The diatom record from Nielsen Basin (GC2), on the inner continental shelf, is relatively uniform compared to that in GC1. Glacial ice was present over the region c. &gt;5.6 adj. C-14 kyr BP and a dissolution diatom assemblage was deposited beneath it. Following ice retreat, an ice-edge diatom assemblage was deposited briefly before sea-ice conditions similar to that on the continental shelf today developed. There is no evidence in GC2 for the mid- to late-Holocene high-productivity events identified in GC1.</t>
  </si>
  <si>
    <t>Antarctic Cooperat Res Ctr, Hobart, Tas 7001, Australia; Inst Antarctic &amp; So Ocean Studies, Hobart, Tas 7001, Australia</t>
  </si>
  <si>
    <t>Taylor, F (corresponding author), Antarctic Cooperat Res Ctr, GPO Box 252-80, Hobart, Tas 7001, Australia.</t>
  </si>
  <si>
    <t>McMinn, Andrew/A-9910-2008</t>
  </si>
  <si>
    <t>10.1191/095968301678302896</t>
  </si>
  <si>
    <t>443QC</t>
  </si>
  <si>
    <t>WOS:000169351000008</t>
  </si>
  <si>
    <t>Schnack-Schiel, SB</t>
  </si>
  <si>
    <t>Aspects of the study of the life cycles of Antarctic copepods</t>
  </si>
  <si>
    <t>HYDROBIOLOGIA</t>
  </si>
  <si>
    <t>copepods; life cycles; reproduction; development; metabolism; Antarctic</t>
  </si>
  <si>
    <t>EASTERN WEDDELL-SEA; CALANUS-PROPINQUUS COPEPODA; RHINCALANUS-GIGAS COPEPODA; CALANOIDES-ACUTUS COPEPODA; SOUTHERN-OCEAN; WAX ESTERS; EUCHAETA-ANTARCTICA; SEASONAL-VARIATIONS; ATLANTIC SECTOR; MARINE COPEPODS</t>
  </si>
  <si>
    <t>Different approaches to the study of life cycle strategies of Antarctic copepods are described in an attempt to shed new light on our present knowledge. To date, most studies were carried out on abundance, horizontal and vertical distribution and stage composition during different seasons and in various regions. Hence, the seasonal pictures had to be compiled from different years and sampling regions. The physiological method includes measurements on e.g. egg production, feeding, respiration and excretion rates, C:N and O:N ratios, lipid and protein contents. However, both physiological and biochemical data are still rare. Results of field observations are given in this paper for investigations conducted within the last 15 years in the eastern Weddell Sea, while data of physiological parameters are based on a broader geographical region. In the eastern Weddell Sea, eight copepod species account for about 95% of copepod abundance and for more than 80% of copepod biomass. Within the calanoids, the small species Microcalanus pygmaeus dominates by numbers with 66%, while the large species Calanoides acutus and Calanus propinquus comprise together 52% of the biomass. Species abundance is lowest in winter and highest in summer/autumn, however, seasonal changes in the abundance of M. pygmaeus are small and this species occurs in similar quantities throughout the year. All copepod species show a distinct seasonal vertical distribution pattern and they occur in upper water layers in summer, in contrast to the other seasons. However, the depth layers of maximum concentration differ between species. The ontogenetic vertical migration is most pronounced in C. acutus and relatively weak in C. propinquus. The age structure also shows seasonal differences with the youngest population observed in summer for C. acutus, C. propinquus, Ctenocalanus citer or autumn for Metridia gerlachei, whereas the M. pygmaeus population is oldest during summer. The youngest copepodite stage and the males are not always present in C. acutus and C. propinquus. In contrast, all developmental stages and both sexes occur throughout the year in M. gerlachei, M. pygmaeus and C. citer. Gonad maturation in the dominant calanoid species proceeds well before the onset of phytoplankton production in the eastern Weddell Sea. However, the highest portion of females with ripe gonads and hence highest egg production rates coincide with the productive period in spring and summer. In autumn, ovaries of the three larger species C. acutus, C. propinquus and M. gerlachei are all spent. In contrast, the percentage of ripe females of the two smaller species, C. citer and M. pygmaeus, stays high in autumn. Egg production rates are highly variable within one region and species. Many copepods accumulate large depots of lipid, mainly wax esters. In contrast, five species (C. propinquus, C. simillimus, Euchirella rostromagna, Stephos longipes and Paralabidocera antarctica) almost exclusively synthesise triacylglycerols and not wax esters. The lipid content exhibits distinct seasonal patterns, and is highest in autumn. A seasonal difference is also obvious in metabolic activities with lowest rates during the dark season. The adaptation to the pronounced seasonality in the Southern Ocean differs greatly between copepod species, and most Antarctic copepods stay active during the dark season. Calanoides acutus seems to be the only true diapause species. Calculations of summer developmental rates and winter mortality rates of the large species C. acutus and C. propinquus suggest that both species have a 1-year life cycle with few females overwintering and probably spawning a second time. In contrast, a 2-year life cycle is more likely in R. However, life cycle durations of all species studied are still uncertain and regional differences are very probable.</t>
  </si>
  <si>
    <t>Alfred Wegener Inst Polar &amp; Marine Res, D-27515 Bremerhaven, Germany</t>
  </si>
  <si>
    <t>Helmholtz Association; Alfred Wegener Institute, Helmholtz Centre for Polar &amp; Marine Research</t>
  </si>
  <si>
    <t>Alfred Wegener Inst Polar &amp; Marine Res, D-27515 Bremerhaven, Germany.</t>
  </si>
  <si>
    <t>sschiel@awi-bremerhaven.de</t>
  </si>
  <si>
    <t>VAN GODEWIJCKSTRAAT 30, 3311 GZ DORDRECHT, NETHERLANDS</t>
  </si>
  <si>
    <t>0018-8158</t>
  </si>
  <si>
    <t>1573-5117</t>
  </si>
  <si>
    <t>Hydrobiologia</t>
  </si>
  <si>
    <t>1-3</t>
  </si>
  <si>
    <t>10.1023/A:1013195329066</t>
  </si>
  <si>
    <t>Marine &amp; Freshwater Biology</t>
  </si>
  <si>
    <t>499ZD</t>
  </si>
  <si>
    <t>WOS:000172600200002</t>
  </si>
  <si>
    <t>Pasternak, AF; Schnack-Schiel, SB</t>
  </si>
  <si>
    <t>Feeding patterns of dominant Antarctic copepods: an interplay of diapause, selectivity, and availability of food</t>
  </si>
  <si>
    <t>gut content; feeding activity; Antarctic copepods; diapause; life cycle strategies</t>
  </si>
  <si>
    <t>LIFE-CYCLE STRATEGIES; EASTERN WEDDELL-SEA; MARGINAL ICE-ZONE; CALANOIDES-ACUTUS; CALANUS-PROPINQUUS; RHINCALANUS-GIGAS; SOUTHERN-OCEAN; ZOOPLANKTON COMMUNITY; CHEMICAL-COMPOSITION; SCOTIA SEA</t>
  </si>
  <si>
    <t>Gut contents and feeding activity of five dominant Antarctic copepods (Calanus propinquus, Calanoides acutus, Rhincalanus gigas, Metridia gerlachei and Microcalanus pygmaeus) were studied from samples collected during several cruises of the RV Polarstern to the eastern Weddell Sea. In summer, feeding activity, estimated as percentage of copepods with food in the guts, was high in all the species, and diatoms dominated all gut contents. In winter, C. acutus was trophically inactive, and C. propinquus and R. gigas considerably decreased their feeding activity, while a decrease in feeding of M. gerlachei and M. pygmaeus was less pronounced. Unidentified mass dominated gut contents in winter, supplemented by phytoplankton and protozoans. Prior to the spring bloom, feeding activity of C. acutus was low, with unidentified food predominating, while carnivory was important in actively feeding C. propinquus. Rhincalanus gigas tended to be more carnivorous than C. acutus, however with less feeding activity than C. propinquus. Seasonal changes in feeding patterns are discussed.</t>
  </si>
  <si>
    <t>Russian Acad Sci, Inst Oceanol, Moscow 117851, Russia; Alfred Wegener Inst Polar &amp; Marine Res, D-27656 Bremerhaven, Germany</t>
  </si>
  <si>
    <t>Russian Academy of Sciences; Helmholtz Association; Alfred Wegener Institute, Helmholtz Centre for Polar &amp; Marine Research</t>
  </si>
  <si>
    <t>Russian Acad Sci, Inst Oceanol, 36 Nakhimov Av, Moscow 117851, Russia.</t>
  </si>
  <si>
    <t>avamik@online.ru</t>
  </si>
  <si>
    <t>Pasternak, Anna/E-6121-2014</t>
  </si>
  <si>
    <t>Pasternak, Anna/0000-0003-0317-5861</t>
  </si>
  <si>
    <t>10.1023/A:1013147413136</t>
  </si>
  <si>
    <t>WOS:000172600200003</t>
  </si>
  <si>
    <t>Ward, P; Shreeve, RS</t>
  </si>
  <si>
    <t>The deep-sea copepod fauna of the Southern Ocean: patterns and processes</t>
  </si>
  <si>
    <t>deep-sea copepods; diversity; distribution; production; metabolism; Southern Ocean</t>
  </si>
  <si>
    <t>ANTARCTIC MICRONEKTONIC CRUSTACEA; WESTERN WEDDELL SEA; MIDWATER FOOD WEB; ZOOPLANKTON COMMUNITY; CALANOID COPEPODS; GEOGRAPHICAL-DISTRIBUTION; VERTICAL DISTRIBUTIONS; DIURNAL MIGRATIONS; SEASONAL-VARIATION; PELAGIC COPEPODS</t>
  </si>
  <si>
    <t>In recent years, much attention has been paid to the Antarctic epipelagic fauna, as a result of the desire to increase our knowledge of ecosystem function and resource management. Unfortunately, our understanding of the polar pelagic deep-sea has not progressed as fast, and in common with many other parts of the world's deep ocean, knowledge is still fragmentary. As yet, we have an incomplete but evolving knowledge of species presence and distribution, but very little idea of how the extreme seasonality seen in the Southern Ocean might influence the deep-water fauna. An examination is made of species distribution and diversity, in relation to the latitudinal cline seen in many benthic groups, and the historical perspective offered by changing circulation patterns and sea temperature through geological time. Although a number of important frontal systems are found within the circumpolar Southern Ocean, the boundary is marked by the Sub-Tropical Convergence, which appears to be the major biogeographic boundary between it and surrounding provinces. Evidence for seasonality in various families is reviewed in light of what we know and can infer about their biology and particularly in respect of their bathymetric distribution, which in some groups appears to change with latitude.</t>
  </si>
  <si>
    <t>British Antarctic Survey, NERC, High Cross,Madingley Rd, Cambridge CB3 0ET, England.</t>
  </si>
  <si>
    <t>Pwar@pcmail.nerc-bas.ac.uk</t>
  </si>
  <si>
    <t>10.1023/A:1013199414045</t>
  </si>
  <si>
    <t>WOS:000172600200004</t>
  </si>
  <si>
    <t>Beaumont, KL; Plummer, AJ; Hosie, GW; Ritz, DA</t>
  </si>
  <si>
    <t>Production and fate of faecal pellets during summer in an East Antarctic fjord</t>
  </si>
  <si>
    <t>faecal pellets; sedimentation; recycling; copepods; Antarctic fjord</t>
  </si>
  <si>
    <t>NORTHWESTERN MEDITERRANEAN-SEA; COPEPOD FECAL PELLETS; SINKING RATES; PHYTOPLANKTON SUCCESSION; NORTHEAST ATLANTIC; PERMANENT STATION; ORGANIC-MATTER; SOUTHERN-OCEAN; VESTFOLD-HILLS; PARTICLE-FLUX</t>
  </si>
  <si>
    <t>The abundance of small faecal pellets is high in marine waters. Little is known, however, about the processes governing their production and fate in the water column. We investigated faecal pellet production and flux in relation to the phytoplankton and copepod assemblages present in Ellis Fjord, Antarctica. Results show that the phytoplankton community shifted from a dominance of diatoms to that of a cryptomonad species during late January. This coincided with an increase in abundance of the small copepods Paralabidocera antarctica and Oithona similis, although Oncaea curvata was still the dominant species. The mean faecal pellet flux was 9943 pellets m(-2) d(-1). Only 37% of the faecal pellet flux at 5 m sedimented to 10 m depth, 15% to 20 m, and 12% to 40 m depth. Our results suggest that recycling of faecal pellets by copepods contributes to this decreased flux with increasing depth, which concurs with results from large scale oceanic studies. Additionally, we propose that the summer ice melt changes the physical characteristics of the water column and the phytoplankton species abundance and distribution; both of which potentially impact on the distribution and abundance of copepods, thereby regulating faecal pellet flux.</t>
  </si>
  <si>
    <t>Univ Tasmania, Sch Zool, Hobart, Tas, Australia; Univ Melbourne, Dept Zool, Melbourne, Vic, Australia; Australian Antarctic Div, Kingston, Tas 7050, Australia</t>
  </si>
  <si>
    <t>University of Tasmania; University of Melbourne; Melbourne Bioinformatics; Australian Antarctic Division</t>
  </si>
  <si>
    <t>Australian Antarctic Div, Channel Highway, Kingston, Tas 7050, Australia.</t>
  </si>
  <si>
    <t>Karin.Beaumont@aad.gov.au</t>
  </si>
  <si>
    <t>10.1023/A:1013103630883</t>
  </si>
  <si>
    <t>WOS:000172600200005</t>
  </si>
  <si>
    <t>Kawall, HG; Torres, JJ; Geiger, SP</t>
  </si>
  <si>
    <t>Effects of the ice-edge bloom and season on the metabolism of copepods in the Weddell Sea, Antarctica</t>
  </si>
  <si>
    <t>metabolism; Copepoda; ice-edge bloom; Antarctica</t>
  </si>
  <si>
    <t>CALANUS-PROPINQUUS; RHINCALANUS-GIGAS; CALANOIDES-ACUTUS; OVERWINTERING STRATEGIES; MICRONEKTONIC CRUSTACEA; PROXIMATE COMPOSITION; CHEMICAL-COMPOSITION; EUPHAUSIA-SUPERBA; DYNAMIC ACTION; LIFE-CYCLE</t>
  </si>
  <si>
    <t>The metabolic responses of several species of Antarctic copepods to primary productivity and changes between seasons were investigated. To examine the influence of the spring ice-edge bloom on the metabolism of copepods, oxygen consumption rates were determined on specimens from three zones of widely different ice coverage and chlorophyll biomass: pack ice (pre-bloom), ice edge (bloom) and open water (post-bloom). Summer metabolic rates were compared with published winter rates. Field work was done in the Weddell Sea in the region of 60 degreesS, 36 degreesW in late November and December 1993. Oxygen consumption rates were determined by placing individuals in syringe respirometers and monitoring the oxygen partial pressure for 10-20 hours. Higher metabolic rates were observed in the primarily herbivorous copepods, Calanoides acutus, Rhincalanus gigas and Calanus propinquus in regions of higher primary production: ice edge and open water. The carnivorous Paraeuchaeta antarctica showed a similar pattern. The omnivorous copepods Metridia gerlachei and Gaetanus tenuispinus showed no changes in metabolism between zones. Data on routine rates of copepods from the winter were available for C. propinquus and P. antarctica. In P. antarctica, rates were higher in the summer. Calanus propinquus showed a higher metabolic rate in the summer than in the winter, but the difference was not significant at the 0.05 level. It was concluded that copepods near the ice zone in the ice zone in the Antarctic rely on the spring ice-edge bloom for growth and completion of their life cycle.</t>
  </si>
  <si>
    <t>Univ Fed Parana, Dept Biol Celular, BR-81531970 Curitiba, Parana, Brazil; Univ S Florida, Dept Marine Sci, St Petersburg, FL 33701 USA</t>
  </si>
  <si>
    <t>Universidade Federal do Parana; State University System of Florida; University of South Florida</t>
  </si>
  <si>
    <t>Univ Fed Parana, Dept Biol Celular, Caixa Postal 19031, BR-81531970 Curitiba, Parana, Brazil.</t>
  </si>
  <si>
    <t>10.1023/A:1013155614953</t>
  </si>
  <si>
    <t>WOS:000172600200006</t>
  </si>
  <si>
    <t>Geiger, SP; Kawall, HG; Torres, JJ</t>
  </si>
  <si>
    <t>The effect of the receding ice edge on the condition of copepods in the northwestern Weddell Sea: results from biochemical assays</t>
  </si>
  <si>
    <t>Antarctic; zooplankton; proximate chemical composition; metabolic enzymes; RNA : DNA</t>
  </si>
  <si>
    <t>METRIDIA-GERLACHEI GIESBRECHT; CALANUS-PROPINQUUS COPEPODA; CALANOIDES-ACUTUS; RHINCALANUS-GIGAS; ANTARCTIC PENINSULA; ENZYME-ACTIVITIES; MARINE COPEPOD; GROWTH-RATE; EUCHAETA-ANTARCTICA; VERTICAL MIGRATION</t>
  </si>
  <si>
    <t>We compared six biochemical measures of nutritional condition: citrate synthase activity (CS), malate and lactate dehydrogenase activity (MDH and LDH), RNA:DNA ratio, and percent body protein and lipid. Adult females of five species of calanoid copepod (Calanoides acutus, Calanus propinquus, Metridia gerlachei, Rhincalanus gigas and Paraeuchaeta antarctica) were collected in the marginal ice zone of the northwestern Weddell Sea at the time of the annual phytoplankton bloom that occurs in association with the receding ice edge during austral spring. Three zones within the marginal ice zone were sampled: heavy-ice-cover pre-bloom, ice-edge bloom and low-ice-cover post-bloom. Lipid generally increased greatly from ice-covered to open water zones, and its importance in the life of polar copepods cannot be overstated. Increases in protein from ice-covered to open water were also observed, but were of less significance. Each species exhibited significant changes in at least one enzyme activity level. Citrate synthase activity in C. acutus, C. propinquus and R. gigas, all herbivores, increased between pre- and post-bloom stations. C. propinquus and M. gerlachei, which feed during winter, had large increases in LDH activity between pre- and post-bloom stations. Rhincalanus gigas and P. antarctica, the two largest species studied, showed variations in MDH activity, with peak enzyme activity occurring in post-bloom stations. RNA:DNA ratio did not change in any species. The effects of size, shipboard handling and freezer storage were easily corrected statistically, and did not alter any conclusions. The patterns observed in copepod nutrition at the Antarctic ice edge were consistent with existing models of life history for each species. The observations reported here, in conjunction with previously reported data, suggested that measurement of metabolic enzyme activity, especially in concert with lipid, enables estimation of nutritional condition in adult copepods. Additional studies comparing metabolic activity and ecology of common species should yield more information on the ecology of rarer species.</t>
  </si>
  <si>
    <t>Univ S Florida, Dept Marine Sci, St Petersburg, FL 33701 USA; Univ Fed Parana, Dept Biol Celular, BR-81531970 Curitiba, Parana, Brazil</t>
  </si>
  <si>
    <t>State University System of Florida; University of South Florida; Universidade Federal do Parana</t>
  </si>
  <si>
    <t>Univ S Florida, Dept Marine Sci, 140 7Th Ave S, St Petersburg, FL 33701 USA.</t>
  </si>
  <si>
    <t>sgeiger@marine.usf.edu</t>
  </si>
  <si>
    <t>10.1023/A:1013107715862</t>
  </si>
  <si>
    <t>WOS:000172600200007</t>
  </si>
  <si>
    <t>Woodd-Walker, RS</t>
  </si>
  <si>
    <t>Spatial distributions of copepod genera along the Atlantic Meridional Transect</t>
  </si>
  <si>
    <t>Copepoda; biogeography; biomass; zooplankton; Atlantic Ocean</t>
  </si>
  <si>
    <t>OCEAN</t>
  </si>
  <si>
    <t>The distribution of copepod taxa at a basin scale was analysed using three Atlantic transects (U.K. - Malvinas 1997, Malvinas - U.K. 1997, and South Africa - U.K. 1998). Integrated 200 m to surface zooplankton samples were taken daily, using WP2 nets (200-mum mesh). The zooplankton were size-fractionated and sub-samples taken for carbon analysis. The remainder of the samples was preserved for taxonomic analysis of copepod genera. Multidimensional scaling (MDS) was used to identify zoogeographic regions from the copepod genera. Seven regions were identified: northern temperate, northern subtropical, equatorial, southern tropical, southern sub-tropical, southern temperate and Benguela upwelling. Analysis of similarity showed that most regions were significantly different from each other except: northern temperate and southern temperate, northern temperate and southern subtropical, and northern subtropical and southern subtropical. The genera significant in determining the regions were identified. These regions were compared to other schemes of biological and hydrographic areas. The MDS also showed that the copepod composition in the tropical and subtropical regions was less variable than the temperate and Benguela stations. Latitudinal trends in diversity and size were also investigated. Copepod genera showed a reduction in richness at higher latitudes. Copepod size did not show any substantial or consistent change with latitude along these transects, as demonstrated by both the numerical abundances in each size category, and the carbon biomass per individual. The proportion in each size fraction was quite uniform over the transect.</t>
  </si>
  <si>
    <t>Univ Plymouth, Inst Marine Studies, Plymouth PL4 8AA, Devon, England; CCMS Plymouth, Plymouth PL1 3DH, Devon, England</t>
  </si>
  <si>
    <t>University of Plymouth</t>
  </si>
  <si>
    <t>Woodd-Walker, RS (corresponding author), British Antarctic Survey, High Cross,Madingley Rd, Cambridge CB3 0ET, England.</t>
  </si>
  <si>
    <t>rsww@bas.ac.uk</t>
  </si>
  <si>
    <t>10.1023/A:1013140606293</t>
  </si>
  <si>
    <t>WOS:000172600200014</t>
  </si>
  <si>
    <t>Dauby, P; Scailteur, Y; De Broyer, C</t>
  </si>
  <si>
    <t>Trophic diversity within the eastern Weddell Sea amphipod community</t>
  </si>
  <si>
    <t>Antarctic; Weddell Sea benthos; amphipods; feeding; behaviour; diversity</t>
  </si>
  <si>
    <t>EUSIRUS-PERDENTATUS CHEVREUX; MCMURDO-SOUND; EURYTHENES-GRYLLUS; FEEDING-BEHAVIOR; ROSS SEA; NECROPHAGOUS AMPHIPOD; EPIMERIA CRUSTACEA; FOOD-WEB; BIOLOGY; ACANTHONOTOZOMATIDAE</t>
  </si>
  <si>
    <t>Amphipod crustaceans form one of the most diversified animal groups within the Antarctic macrozoobenthos, both from the taxonomic point of view (more than 800 species have been recorded in the Southern Ocean) as by niche occupation and at the community level. Thus, amphipods are likely to play an important role in the organic matter fluxes that occur on the Antarctic sea floor. The dietary behaviour of these peracarids is still poorly known, and only few species have been analysed. This paper describes the trophic preferences of some dominant amphipod species of the Eastern Weddell Sea benthos, deduced from stomach content analyses and behavioural observations in aquaria. More than 1000 specimens, belonging to 40 species (representing 27 genera and 15 families) were dissected; and several thousands of individuals were kept in aquaria for 6-9 weeks and presented with various potential foods. These two approaches revealed at least eight different feeding types: suspension-feeding, deposit-feeding, deposit-feeding coupled with predation, opportunistic predation, micropredatory browsing, macropredation coupled with scavenging, opportunistic necrophagy and true necrophagy. These different behaviours cover almost all the possible feeding types with the exception of macroherbivorous browsing. Among the eight described feeding types, no particular one is dominant. In the same way, types involving microphagy and macrophagy are equally represented. Predatory types (opportunistic or exclusive) account for 64% of the species analysed, while scavenging types (facultative or obligate) account for 60%. The overlap suggests that many amphipod species have a wide dietary spectrum and are able to take advantage of different food resources.</t>
  </si>
  <si>
    <t>Inst Royal Sci Nat Belgique, Dept Invertebres Carcinol, B-1000 Brussels, Belgium</t>
  </si>
  <si>
    <t>Inst Royal Sci Nat Belgique, Dept Invertebres Carcinol, Rue Vautier 29, B-1000 Brussels, Belgium.</t>
  </si>
  <si>
    <t>dauby@kbinirsnb.be</t>
  </si>
  <si>
    <t>10.1023/A:1017596120422</t>
  </si>
  <si>
    <t>421LM</t>
  </si>
  <si>
    <t>Green Published</t>
  </si>
  <si>
    <t>WOS:000168065900008</t>
  </si>
  <si>
    <t>Danson, MJ; Hough, DW</t>
  </si>
  <si>
    <t>Citrate synthase from hyperthermophilic Archaea</t>
  </si>
  <si>
    <t>HYPERTHERMOPHILIC ENZYMES, PT B</t>
  </si>
  <si>
    <t>METHODS IN ENZYMOLOGY</t>
  </si>
  <si>
    <t>THERMOPLASMA-ACIDOPHILUM; ESCHERICHIA-COLI; AFFINITY-CHROMATOGRAPHY; THERMOPHILIC ARCHAEON; ANTARCTIC BACTERIUM; PYROCOCCUS-FURIOSUS; CRYSTAL-STRUCTURE; GENE; PURIFICATION; EXPRESSION</t>
  </si>
  <si>
    <t>Univ Bath, Dept Biol &amp; Biochem, Ctr Extremophile Res, Bath BA2 7AY, Avon, England</t>
  </si>
  <si>
    <t>University of Bath</t>
  </si>
  <si>
    <t>Danson, MJ (corresponding author), Univ Bath, Dept Biol &amp; Biochem, Ctr Extremophile Res, Bath BA2 7AY, Avon, England.</t>
  </si>
  <si>
    <t>ACADEMIC PRESS INC</t>
  </si>
  <si>
    <t>SAN DIEGO</t>
  </si>
  <si>
    <t>525 B STREET, SUITE 1900, SAN DIEGO, CA 92101-4495 USA</t>
  </si>
  <si>
    <t>0076-6879</t>
  </si>
  <si>
    <t>METHOD ENZYMOL</t>
  </si>
  <si>
    <t>Methods Enzymol.</t>
  </si>
  <si>
    <t>Biochemical Research Methods; Biochemistry &amp; Molecular Biology</t>
  </si>
  <si>
    <t>BR92H</t>
  </si>
  <si>
    <t>WOS:000168050900001</t>
  </si>
  <si>
    <t>Brueggeman, P</t>
  </si>
  <si>
    <t>Markham, JW; Duda, AL</t>
  </si>
  <si>
    <t>Under Antarctic ice</t>
  </si>
  <si>
    <t>IAMSLIC 2000: TIDES OF TECHNOLOGY</t>
  </si>
  <si>
    <t>INTERNATIONAL ASSOCIATION OF MARINE SCIENCE LIBRARIES AND INFORMATION CENTERS CONFERENCE SERIES</t>
  </si>
  <si>
    <t>26th Annual Conference of the International-Association-of-Aquatic-and-Marine-Science-Libraries-and-Information-Centers</t>
  </si>
  <si>
    <t>SEP 30-OCT 05, 2000</t>
  </si>
  <si>
    <t>VICTORIA, CANADA</t>
  </si>
  <si>
    <t>Univ Calif San Diego, Scripps Inst Oceanog Lib, Dept U219, La Jolla, CA 92093 USA</t>
  </si>
  <si>
    <t>University of California System; University of California San Diego; Scripps Institution of Oceanography</t>
  </si>
  <si>
    <t>INT ASSOC MARINE SCIENCE LIBRARIES &amp; INFORMATION CENTER</t>
  </si>
  <si>
    <t>FORT PIERCE</t>
  </si>
  <si>
    <t>C/O HBOI LIBRARY, 5600 OLD DIXIE HWY, FORT PIERCE, FL 34946 USA</t>
  </si>
  <si>
    <t>IAMSLIC CON</t>
  </si>
  <si>
    <t>Computer Science, Information Systems; Information Science &amp; Library Science</t>
  </si>
  <si>
    <t>Conference Proceedings Citation Index - Science (CPCI-S); Conference Proceedings Citation Index - Social Science &amp; Humanities (CPCI-SSH)</t>
  </si>
  <si>
    <t>Computer Science; Information Science &amp; Library Science</t>
  </si>
  <si>
    <t>BS21F</t>
  </si>
  <si>
    <t>WOS:000169088200008</t>
  </si>
  <si>
    <t>Silverman, ED; Veit, RR</t>
  </si>
  <si>
    <t>Associations among Antarctic seabirds in mixed species feeding flocks</t>
  </si>
  <si>
    <t>IBIS</t>
  </si>
  <si>
    <t>SOUTH-GEORGIA; FORAGING ECOLOGY; KRILL; COMPETITION; SEGREGATION; RESPONSES; PETRELS; WINTER; SWARMS; FOOD</t>
  </si>
  <si>
    <t>We studied ten mixed-species feeding flocks of seabirds and seals off South Georgia (55 degreesS, 35 degreesW) to assess the factors that influenced the species composition of the flocks. The ten flocks were distributed between two oceanographic regions; four flocks were observed off the northwestern end of South Georgia, and six off the island's southeastern end. The flocks differed dramatically in size and species composition. The northwestern flocks were ten to 20 times larger and contained more seals and penguins. We tested whether these differences were a consequence of location, because the two regions were populated by different assemblages of species, and determined that this was not the case. Differences in flock size and species composition reflected differences in the depth distribution of the birds' and seals' prey. The northwestern flocks were associated with deep swarms of Antarctic krill Euphausia superba with a significant quantity of krill also present at the surface. We also tested for differential flock participation by the species found in the surrounding waters and classified species by their proclivity to participate in the flocks. Our results indicate that Black-browed Albatross Diomedea melanophris have a strong tendency to join, and diving-petrels Pelecanoides spp, to avoid, mixed-species feeding flocks. We postulate that Black-browed Albatrosses serve as visual cues to the presence of food for one another and for other species, and that diving-petrels avoid mixed-species flocks in part because of the risk of predation.</t>
  </si>
  <si>
    <t>Univ Washington, Quantitat Ecol &amp; Resource Management, Seattle, WA 98195 USA; CUNY Coll Staten Isl, Dept Biol, Staten Isl, NY 10314 USA</t>
  </si>
  <si>
    <t>University of Washington; University of Washington Seattle; City University of New York (CUNY) System; College of Staten Island (CUNY)</t>
  </si>
  <si>
    <t>Silverman, ED (corresponding author), Univ Michigan, Sch Nat Resources &amp; Environm, Dana Bldg,430 E Univ, Ann Arbor, MI 48109 USA.</t>
  </si>
  <si>
    <t>BRITISH ORNITHOLOGISTS UNION</t>
  </si>
  <si>
    <t>TRING</t>
  </si>
  <si>
    <t>C/O NATURAL HISTORY MUSEUM, SUB-DEPT ORNITHOLOGY, TRING, HERTS, ENGLAND HP23 6AP</t>
  </si>
  <si>
    <t>0019-1019</t>
  </si>
  <si>
    <t>Ibis</t>
  </si>
  <si>
    <t>10.1111/j.1474-919X.2001.tb04169.x</t>
  </si>
  <si>
    <t>388CD</t>
  </si>
  <si>
    <t>WOS:000166159100007</t>
  </si>
  <si>
    <t>Fowler, CW; Emery, WJ; Maslanik, JA</t>
  </si>
  <si>
    <t>IEEE; IEEE</t>
  </si>
  <si>
    <t>Twenty three years of antarctic sea ice motion from microwave satellite imagery</t>
  </si>
  <si>
    <t>IGARSS 2001: SCANNING THE PRESENT AND RESOLVING THE FUTURE, VOLS 1-7, PROCEEDINGS</t>
  </si>
  <si>
    <t>IEEE International Symposium on Geoscience and Remote Sensing (IGARSS)</t>
  </si>
  <si>
    <t>IEEE International Geoscience and Remote Sensing Symposium</t>
  </si>
  <si>
    <t>JUL 09-13, 2001</t>
  </si>
  <si>
    <t>UNIV NEW S WALES, SYDNEY, AUSTRALIA</t>
  </si>
  <si>
    <t>UNIV NEW S WALES</t>
  </si>
  <si>
    <t>The Scanning Multi-channel Microwave Radiometer (SMMR) and the Special Sensor Microwave Imager (SSM/I) are used to compute daily sea ice motion maps around the Antarctic continent. These daily maps are used to compute the mean monthy ice motions over this 25-year period. In addition, seasonal averages (June to December) are computed for each year and compared to reveal significant year-to-year variability related to changes in local climate and ice cover conditions. Mean seasonal and mean monthly ice motion fields are related to coincident atmospheric forcing fields. Ice motions computed for individual satellite channels reveal some differences in their response to wind and ocean current forcing. Comparisons with relatively few Antarctic drifting ice buoy trajectories support the ice motions computed from the satellite data alone.</t>
  </si>
  <si>
    <t>Univ Colorado, Boulder, CO 80309 USA</t>
  </si>
  <si>
    <t>University of Colorado System; University of Colorado Boulder</t>
  </si>
  <si>
    <t>Fowler, CW (corresponding author), Univ Colorado, CCAR Box 431, Boulder, CO 80309 USA.</t>
  </si>
  <si>
    <t>Emery, William/L-6179-2017</t>
  </si>
  <si>
    <t>Emery, William/0000-0002-7598-9082</t>
  </si>
  <si>
    <t>IEEE</t>
  </si>
  <si>
    <t>345 E 47TH ST, NEW YORK, NY 10017 USA</t>
  </si>
  <si>
    <t>0-7803-7031-7</t>
  </si>
  <si>
    <t>INT GEOSCI REMOTE SE</t>
  </si>
  <si>
    <t>Engineering, Electrical &amp; Electronic; Geosciences, Multidisciplinary; Remote Sensing</t>
  </si>
  <si>
    <t>Engineering; Geology; Remote Sensing</t>
  </si>
  <si>
    <t>BU88J</t>
  </si>
  <si>
    <t>WOS:000177297200050</t>
  </si>
  <si>
    <t>Worby, AP; Comiso, JC</t>
  </si>
  <si>
    <t>A study of the Antarctic sea ice edge using SSM/I and in-situ observations</t>
  </si>
  <si>
    <t>Ship data of the Antarctic sea ice edge location are compared with the SSM/I-derived ice edge locations for the same dates and longitudes. The data show that between March and October there is generally very good agreement between the observations and the satellite data, making the 15% threshold commonly used for the satellite data a good estimate of the true ice edge location. The Bootstrap algorithm shows the best correlation with the observations, picking the presence of ice bands in the ice edge zone on two occasions when the TEAM algorithm did not. In November and December however, neither algorithm identifies these bands, and the SSM/I ice edge is, on average, 1.0-1.56degrees latitude south of the observed ice edge for the Bootstrap and TEAM algorithms respectively.</t>
  </si>
  <si>
    <t>Univ Tasmania, Antarctic CRC &amp; Australian Antarctic Div, Hobart, Tas 7001, Australia</t>
  </si>
  <si>
    <t>Worby, AP (corresponding author), Univ Tasmania, Antarctic CRC &amp; Australian Antarctic Div, POB 252-80, Hobart, Tas 7001, Australia.</t>
  </si>
  <si>
    <t>Worby, Anthony P/A-2373-2012</t>
  </si>
  <si>
    <t>WOS:000177297200052</t>
  </si>
  <si>
    <t>Young, NW; Collings, AD; Gale, T; Hyland, G; Morffew, M; Williams, R</t>
  </si>
  <si>
    <t>Mapping the Antarctic ice sheet margin and grounding zone for change detection</t>
  </si>
  <si>
    <t>We have undertaken mapping of the ice sheet margin and grounding zone in East Antarctica using Landsat TM and ERS SAR images in order to establish an accurate baseline for the detection of future change. As part of this work we have implemented a computer-aided edge-following algorithm to provide an objective and consistent mechanism for analysis of different images. Accurate geocoding of the images is achieved with sparsely distributed ground control points and a transformation of the images which preserves their inherent geometric properties and internal positioning accuracy. An initial comparison with published maps has identified significant changes in several large ice shelves.</t>
  </si>
  <si>
    <t>Antarctic CRC, Hobart, Tas 7001, Australia</t>
  </si>
  <si>
    <t>Young, NW (corresponding author), Antarctic CRC, GPO Box 252-80, Hobart, Tas 7001, Australia.</t>
  </si>
  <si>
    <t>Young, Neal/0000-0001-9729-3273</t>
  </si>
  <si>
    <t>WOS:000177297200053</t>
  </si>
  <si>
    <t>Derrode, S; Mercier, G; Le Caillec, JM; Garello, R</t>
  </si>
  <si>
    <t>Estimation of sea-ice SAR clutter statistics from Pearson's system of distributions</t>
  </si>
  <si>
    <t>IMAGE SEGMENTATION; K-DISTRIBUTION; RADAR CLUTTER</t>
  </si>
  <si>
    <t>SAR images can be used to help ship routing in sea-ice conditions. In this study, we focus on the Antarctic region where no multi-year ice nor big ice floes are to be found. As a matter of fact, each clutter obeys to a backscattering mechanism that induces a specific pixel distribution and our attempt is to identify automatically the correct distribution for each ice type. The problem is that of generalized mixture estimation and unsupervised image classification. In this work, we modelled the mixture with distributions from the Pearson's system. Parameters estimation is realized according to the ICE algorithm in the context of hidden Markov chains. The results obtained from the Pearson's system are compared to the ones obtained with a classical mixture of Gaussian distributions.</t>
  </si>
  <si>
    <t>ENST Bretagne, Dpt ITI, F-29285 Brest, France</t>
  </si>
  <si>
    <t>IMT - Institut Mines-Telecom; IMT Atlantique</t>
  </si>
  <si>
    <t>Derrode, S (corresponding author), ENST Bretagne, Dpt ITI, BP 832, F-29285 Brest, France.</t>
  </si>
  <si>
    <t>Derrode, Stéphane/C-2120-2013; Le Caillec, Jean-Marc/AAC-5452-2021</t>
  </si>
  <si>
    <t>Derrode, Stephane/0000-0002-2865-2057</t>
  </si>
  <si>
    <t>WOS:000177297200060</t>
  </si>
  <si>
    <t>Pearce, AF; Skirving, WJ; Barton, IJ; Lynch, MJ; Michael, KJ</t>
  </si>
  <si>
    <t>Validation of satellite-derived sea-surface temperatures in Australian tropical, temperate and polar waters</t>
  </si>
  <si>
    <t>The Australian sea surface temperature (SST) cal/val program is spatially extensive and well coordinated. Skin and bulk sea-surface temperature measurements are being undertaken over a wide range of latitudes from tropical waters (north-east Australian coast) through temperate latitudes (southwestern coast) into the Antarctic region. These are being used for in situ validation of Advanced Very High Resolution Radiometer (AVHRR) and Along-Track Scanning Radiometer (ATSR) temperature data, incorporating a variety of atmospheric conditions and a SST range of about -2degrees to 30degrees C. A particular feature is the attempt to monitor both skin and bulk SSTs from a variety of platforms. Validation work in Townsville (Australian Institute of Marine Science - AIMS) and Perth (Commonwealth Scientific and Industrial Research Organisation -- CSIRO, and Curtin University of Technology) is based on regular (daily) measurements from operational commercial ferries, fixed subsurface temperature recorders and monthly cross-shelf surveys. Two groups based in Hobart (CSIRO and University of Tasmania) use research vessels covering all Australian waters and southward Into the Southern Ocean. This paper describes the equipment used, discusses some of the problems involved in using commercially-operated vessels and presents some sample results.</t>
  </si>
  <si>
    <t>CSIRO Marine Res, North Beach, WA 6020, Australia</t>
  </si>
  <si>
    <t>Commonwealth Scientific &amp; Industrial Research Organisation (CSIRO)</t>
  </si>
  <si>
    <t>Pearce, AF (corresponding author), CSIRO Marine Res, POB 20, North Beach, WA 6020, Australia.</t>
  </si>
  <si>
    <t>Michael, Kelvin/J-7217-2014; Skirving, William/E-7927-2011</t>
  </si>
  <si>
    <t>Michael, Kelvin/0000-0002-5427-7393; Skirving, William/0000-0003-0167-6427</t>
  </si>
  <si>
    <t>WOS:000177297200079</t>
  </si>
  <si>
    <t>Srivastava, SK; Banik, BT; Le Dantec, P; Hawkins, RK; Lukowski, TI; Murnaghan, KP</t>
  </si>
  <si>
    <t>RADARSAT-1 image quality five years of achievement</t>
  </si>
  <si>
    <t>RADARSAT-1, the first Canadian SAR remote sensing satellite, was launched on November 4, 1995. After commissioning, it was put into routine operations on April 1, 1996. In September 1997, RADARSAT-1 underwent a major configuration change to accommodate the Antarctic Mapping Mission (AMM - a joint mission by Canada and USA aimed at completing high-resolution mapping of Antarctica) for a period of about five weeks. Significant effort continues to be expended in the provision of high quality products to users generated by the Canadian Data Processing Facility (CDPF). The image quality measurement results indicate that the RADARSAT-1 system is meeting and exceeding its performance specification and that image quality is maintained. This paper will describe the overall process of data acquisition, data analysis and re-calibration for image quality maintenance.</t>
  </si>
  <si>
    <t>Canadian Space Agcy, Satellite Operat, St Hubert, PQ J3Y 8Y9, Canada</t>
  </si>
  <si>
    <t>Canadian Space Agency</t>
  </si>
  <si>
    <t>Srivastava, SK (corresponding author), Canadian Space Agcy, Satellite Operat, 6767 Route Aeroport, St Hubert, PQ J3Y 8Y9, Canada.</t>
  </si>
  <si>
    <t>WOS:000177297200150</t>
  </si>
  <si>
    <t>Papa, F; Mognard, N; Josberger, ED; Remy, F</t>
  </si>
  <si>
    <t>Snow signature with the ERS2 radar altimeter.</t>
  </si>
  <si>
    <t>ANTARCTIC ICE-SHEET</t>
  </si>
  <si>
    <t>Radar altimeter data from ERS2 satellite have been processed across The Northern Great Plains of U.S for an entire snow season and compared to in-situ measurements. We show that cover strongly decreases the variability and the intensity of the backscattering coefficient. More the decrease in backscatter can be related to snow depth.</t>
  </si>
  <si>
    <t>CNES, LEGOS, F-31400 Toulouse, France</t>
  </si>
  <si>
    <t>Universite de Toulouse; Universite Toulouse III - Paul Sabatier; Centre National de la Recherche Scientifique (CNRS); Institut de Recherche pour le Developpement (IRD); Laboratoire d'Etudes en Geophysique et oceanographie spatiales</t>
  </si>
  <si>
    <t>Papa, F (corresponding author), CNES, LEGOS, 18 Av E Belin, F-31400 Toulouse, France.</t>
  </si>
  <si>
    <t>Papa, Fabrice/D-3695-2009</t>
  </si>
  <si>
    <t>Papa, Fabrice/0000-0001-6305-6253</t>
  </si>
  <si>
    <t>WOS:000177297200254</t>
  </si>
  <si>
    <t>Comiso, JC; Stock, LV</t>
  </si>
  <si>
    <t>Studies of Antarctic cloud cover variability from 1982 through 1999</t>
  </si>
  <si>
    <t>AVHRR DATA; SURFACE; RADIATION; ISCCP</t>
  </si>
  <si>
    <t>Seasonal and interannual variability of cloud cover statistics in the Antarctic region has been studied using NOAA/Advanced Very High Resolution Radiometer (AVHRR) data from 1982 through 1999. The data reveal 92% to 94% cloud cover in the open water areas from the Ice edge to 50degrees S latitude, 67% to 80% cloud cover over sea ice, and 25% to 70% cloud cover over the continental ice sheet with the least cloud cover in the Antarctic plateau. Large seasonality is also observed over ice covered areas with the most persistent clouds occuring during the summer. Year-to-year fluctuations are apparent with 1985 and 1995 having unusually cloudy summers while 1998 had the most cloudy winter. The cloud cover is also shown to be on a decline of as much as -0.50 +/- 0.06%/ year over ice sheets at elevations &lt; 2000 m. This trend may partly explain the observed cooling in the continent during the last 2 decades.</t>
  </si>
  <si>
    <t>NASA, Goddard Space Flight Ctr, Greenbelt, MD 20771 USA</t>
  </si>
  <si>
    <t>National Aeronautics &amp; Space Administration (NASA); NASA Goddard Space Flight Center</t>
  </si>
  <si>
    <t>Comiso, JC (corresponding author), NASA, Goddard Space Flight Ctr, Code 971, Greenbelt, MD 20771 USA.</t>
  </si>
  <si>
    <t>WOS:000177297200569</t>
  </si>
  <si>
    <t>Kubo, M; Koshinaka, H; Muramoto, K</t>
  </si>
  <si>
    <t>Extraction of clouds from satellite imagery in the Antarctic using wavelet transform and Mahalanobis classifier</t>
  </si>
  <si>
    <t>Extraction of clouds from NOAA/AVHRR channel 4 data received at Syowa Station in the Antarctic was achieved. First, the image features were calculated by wavelet transform. Then, clouds were extracted by Mahalanobis classifier using the feature vectors. Twenty daytime scenes received in November 1988 were analyzed.</t>
  </si>
  <si>
    <t>Kanazawa Univ, Fac Engn, Kanazawa, Ishikawa 9208667, Japan</t>
  </si>
  <si>
    <t>Kanazawa University</t>
  </si>
  <si>
    <t>Kubo, M (corresponding author), Kanazawa Univ, Fac Engn, 2-40-20 Kodatsuno, Kanazawa, Ishikawa 9208667, Japan.</t>
  </si>
  <si>
    <t>WOS:000177297200692</t>
  </si>
  <si>
    <t>Lytle, VI; Massom, RA; Worby, AP</t>
  </si>
  <si>
    <t>Methods of estimating ridging of Antarctic sea ice</t>
  </si>
  <si>
    <t>Estimating the sea ice thickness surrounding Antarctica is important for determining the ocean-atmosphere heat fluxes, the salt flux to the ocean and for verifying global climate models. A widespread method of estimating ice thickness in the Antarctic is the use of ice observation data. These data are collected by ship-based observers who estimate the sea ice and snow properties hourly as the ship transects the pack. This is a relatively low-cost method of collecting data on ice properties, and data can be collected in all weather conditions, both day and night. However, it is limited to the region of the pack immediately around the ship, and consequently to ice regimes that the ship transects. The largest uncertainty in estimating the total ice volume is from the estimates of the ridging properties (average ridge height and percent ridging). To help quantify this error, we compared the ice observation data to ridge distribution data collected using aerial photography. The number of ridges, and the volume of ice contained in these ridges are estimated using 505 aerial photographs. Using a ridge cut-off height of 0.4 m, 0.8 m and 1.0 m, the ridge frequency is 60 km(-1), 12 km(-1) and 6 km(-1), respectively. Using the same cut-off heights, these ridges are estimated to add 0.7 m, 0.4 m, and 0.3 m to the area-averaged, undeformed ice thickness. Different ridging regimes are also compared to backscatter values obtained from synthetic aperture radar (SAR) data collected from RADARSAT-1.</t>
  </si>
  <si>
    <t>Lytle, VI (corresponding author), Antarctic CRC, GPO Box 252, Hobart, Tas 7001, Australia.</t>
  </si>
  <si>
    <t>Massom, Robert/0000-0003-1533-5084</t>
  </si>
  <si>
    <t>+</t>
  </si>
  <si>
    <t>WOS:000177297200946</t>
  </si>
  <si>
    <t>Massom, RA; Jacka, K; Pook, MJ; Bindoff, N; Fowler, C</t>
  </si>
  <si>
    <t>A significant late-season change in the regional sea ice regime in the vicinity of the Mertz Glacier Polynya, East Antarctica</t>
  </si>
  <si>
    <t>IEEE International Symposium on Geoscience and Remote Sensing IGARSS</t>
  </si>
  <si>
    <t>Satellite, modelled wind-field, wave-field and automatic weather station data are used to examine a significant late-season change in the behaviour of Antarctic sea ice in the region 110-180degreesE. in 1999. This change had a profound effect on the Mertz Glacier Polynya (a major site of cold high-density water formation contributing to Antarctic Bottom Water production). Prior to early October, prevailing ice drift within the near-coastal East Wind Drift was from the E/SE. After this, an abrupt reversal in the regional ice drift regime to a net westerly-south-westerly pattern occurred in response to a change in synoptic wind patterns. This shift halted the supply of thick vast ice floes from the E, dispersing a compact stream of thick floes to the N and removing its effect as a zonal barrier. Swell penetration may have played a significant initial role by loosening the pack in the vicinity of 120-130degreesE. The overall effect was to create a more divergent, diffuse ice cover around the polynya, enlarging its area. By flushing out the polynya, the observed events accelerated the spring-summer meltback of the seasonal sea-ice zone in the region.</t>
  </si>
  <si>
    <t>Univ Tasmania, Antarctic CRC, Hobart, Tas 7001, Australia</t>
  </si>
  <si>
    <t>University of Tasmania</t>
  </si>
  <si>
    <t>Massom, RA (corresponding author), Univ Tasmania, Antarctic CRC, GPO Box 252-80, Hobart, Tas 7001, Australia.</t>
  </si>
  <si>
    <t>Bindoff, Nathaniel Lee/C-8050-2011; Bindoff, Nathaniel Lee/IVV-0333-2023; Pook, Michael J/A-3810-2012</t>
  </si>
  <si>
    <t>Bindoff, Nathaniel Lee/0000-0001-5662-9519; Bindoff, Nathaniel Lee/0000-0001-5662-9519; Massom, Robert/0000-0003-1533-5084</t>
  </si>
  <si>
    <t>2153-6996</t>
  </si>
  <si>
    <t>WOS:000177297200949</t>
  </si>
  <si>
    <t>Samarkin, V; Wand, U; Gundelwein, A</t>
  </si>
  <si>
    <t>Williams, WD</t>
  </si>
  <si>
    <t>Methane biogeochemistry in arctic and antarctic lakes and tundra wetlands</t>
  </si>
  <si>
    <t>INTERNATIONAL ASSOCIATION OF THEORETICAL AND APPLIED LIMNOLOGY, VOL 27, PT 3, PROCEEDINGS</t>
  </si>
  <si>
    <t>INTERNATIONAL ASSOCIATION OF THEORETICAL AND APPLIED LIMNOLOGY - PROCEEDINGS</t>
  </si>
  <si>
    <t>27th Congress of the International-Association-of-Theoretical-and-Applied-Limnology</t>
  </si>
  <si>
    <t>DUBLIN, IRELAND</t>
  </si>
  <si>
    <t>RAS, Inst Soil Sci &amp; Photosynth, Moscow, Russia</t>
  </si>
  <si>
    <t>Russian Academy of Sciences</t>
  </si>
  <si>
    <t>Samarkin, V (corresponding author), RAS, Inst Soil Sci &amp; Photosynth, Moscow, Russia.</t>
  </si>
  <si>
    <t>E SCHWEIZERBART'SCHE VERLAGSBUCHHANDLUNG</t>
  </si>
  <si>
    <t>STUTTGART</t>
  </si>
  <si>
    <t>JOHANNESTRASSE 3, W-7000 STUTTGART, GERMANY</t>
  </si>
  <si>
    <t>0368-0770</t>
  </si>
  <si>
    <t>3-510-54054-9</t>
  </si>
  <si>
    <t>INT VER THEOR ANGEW</t>
  </si>
  <si>
    <t>Limnology</t>
  </si>
  <si>
    <t>BS48W</t>
  </si>
  <si>
    <t>WOS:000170061900061</t>
  </si>
  <si>
    <t>Braun, M; Saurer, H; Vogt, S; Simoes, JC; Gossmann, H</t>
  </si>
  <si>
    <t>The influence of large-scale atmospheric circulation on the surface energy balance of the King George Island ice cap</t>
  </si>
  <si>
    <t>INTERNATIONAL JOURNAL OF CLIMATOLOGY</t>
  </si>
  <si>
    <t>ablation; Antarctica; climatic change; King George Island; snowmelt; South Shetland Islands; surface energy balance; synoptic climatology</t>
  </si>
  <si>
    <t>WESTERN ANTARCTIC PENINSULA; SOUTH SHETLAND ISLANDS; CLIMATE-CHANGE; VARIABILITY; GLACIER; HEAT</t>
  </si>
  <si>
    <t>During the austral summer 1997-1998 three automatic weather stations were operated at different altitudes on the sub-Antarctic ice cap of King George Island (South Shetland Islands). Snowmelt was derived from energy balance computations. Turbulent heat fluxes were calculated from meteorological measurements using the bulk aerodynamic approach, with net radiation being measured directly. Modelled ablation rates were compared with readings at ablation stakes and continuously measured snow height at a reference site. Snow depletion and daily snowmelt cycles could be well reproduced by the model. Generally, radiation balance provided the major energy input for snowmelt at all altitudes, whereas sensible heat flux was a second heat source only in lower elevations. The average latent heat flux was negligible over the entire measuring period. A strong altitudinal gradient of available energy for snowmelt was observed. Sensible heat flux as well as latent heat flux decreased with altitude. The measurements showed a strong dependence of surface energy fluxes and ablation rates on large-scale atmospheric conditions. Synoptic weather situations were analysed based on AVHRR infrared quicklook composite images and surface pressure charts. Maximum melt rates of up to 20 mm per day were recorded during a northwesterly advection event with meridional air mass transport. During this northwesterly advection, the contribution of turbulent heat fluxes to the energy available for snowmelt exceeded that of the radiation balance. For easterly and southerly flows, continentally toned, cold dry air masses dominated surface energy balance terms and did not significantly contribute to ablation. The link between synoptic situations and ablation is especially valuable, as observed climatic changes along the Antarctic Peninsula are attributed to changes in the atmospheric circulation. Therefore, the combination of energy balance calculations and the analysis of synoptic-scale weather patterns could improve the prediction of ablation rates for climate change scenarios. Copyright (C) 2001 Royal Meteorological Society.</t>
  </si>
  <si>
    <t>Univ Freiburg, Inst Phys Geog, D-79085 Freiburg, Germany; Univ Fed Rio Grande do Sul, Dept Geog, Lab Pesquisas Antarticas &amp; Glaciol, BR-91501970 Porto Alegre, RS, Brazil</t>
  </si>
  <si>
    <t>University of Freiburg; Universidade Federal do Rio Grande do Sul</t>
  </si>
  <si>
    <t>Univ Freiburg, Inst Phys Geog, Werderring 4, D-79085 Freiburg, Germany.</t>
  </si>
  <si>
    <t>mabra@ipg.uni-freiburg.de</t>
  </si>
  <si>
    <t>Braun, Matthias/A-4968-2009; Simoes, Jefferson Cardia/D-7232-2013; Braun, Matthias H/S-4693-2016</t>
  </si>
  <si>
    <t>Braun, Matthias/0000-0001-5169-1567; Simoes, Jefferson Cardia/0000-0001-5555-3401;</t>
  </si>
  <si>
    <t>0899-8418</t>
  </si>
  <si>
    <t>1097-0088</t>
  </si>
  <si>
    <t>INT J CLIMATOL</t>
  </si>
  <si>
    <t>Int. J. Climatol.</t>
  </si>
  <si>
    <t>10.1002/joc.563</t>
  </si>
  <si>
    <t>400QF</t>
  </si>
  <si>
    <t>WOS:000166882500002</t>
  </si>
  <si>
    <t>Vincenti, M; Maurino, V; Minero, C; Pelizzetti, E</t>
  </si>
  <si>
    <t>Detection of nitro-substituted polycyclic aromatic hydrocarbons in the antarctic airborne particulate</t>
  </si>
  <si>
    <t>INTERNATIONAL JOURNAL OF ENVIRONMENTAL ANALYTICAL CHEMISTRY</t>
  </si>
  <si>
    <t>nitro-PAH; nitroarenes; Antarctica; airborne particulate; electron capture MS; tandem mass spectrometry</t>
  </si>
  <si>
    <t>TANDEM MASS-SPECTROMETRY; NITRO-PAH; UBIQUITOUS OCCURRENCE; PHOTOCHEMICAL ORIGIN; IDENTIFICATION; ATMOSPHERE; EXTRACTS; 2-NITROFLUORANTHENE; 2-NITROPYRENE; NITROARENES</t>
  </si>
  <si>
    <t>Nitro-PAH have been determined in the Antarctic air particulate for the first time. This achievement was made possible by the use of an extremely sensitive and specific analytical procedure, which allowed us to investigate the composition of size-fractionated airborne particulates, collected in the Terra Nova Bay area (Antarctica) during two-days high-volume sampling periods. Eleven air-particulate samples and three blanks were extracted and analyzed by gas chromatography - electron capture negative ion - tandem mass spectrometry. The high specificity of the procedure relies on both the ionization method and the fixed setting of the second mass-analyzer, selectively filtering the NO(2)(-) ions (m/z 46). Only the most volatile nitro-PAHs (nitro-and dinitronaphtalenes) were detected in the Antarctic air particulate, unlike in temperate areas. Single nitro-PAH concentrations varied in the 1-200 fg/m(3) range. Principal component analysis allowed to cluster the blanks, clearly distinguishing them from the samples, and to classify the samples, as a function of their composition. Nitro-PAH distribution proved to depend on the sampling day but not on the particle size-fraction within the same sampling period. For two air particulate samples the analytical data proved to be biased by sea-triggering the sampling device. The origin of Antarctic nitro-PAHs remains uncertain: while the abundance ratio of the two nitro-naphtalene isomers supports the hypothesis of local direct emission, the high abundance of dinitro- with respect to mononitro-derivatives suggests that an efficient gas-phase nitration may take place on a substrate possibly transported from other continents.</t>
  </si>
  <si>
    <t>Univ Turin, Dipartimento Chim Analit, I-10125 Turin, Italy</t>
  </si>
  <si>
    <t>University of Turin</t>
  </si>
  <si>
    <t>Vincenti, M (corresponding author), Univ Turin, Dipartimento Chim Analit, Via P Giuria 5, I-10125 Turin, Italy.</t>
  </si>
  <si>
    <t>vincenti@silver.ch.unito.it</t>
  </si>
  <si>
    <t>Minero, Claudio/A-6444-2008; Vincenti, Marco/M-3495-2015</t>
  </si>
  <si>
    <t>Minero, Claudio/0000-0001-9484-130X; Vincenti, Marco/0000-0002-6275-7194; Maurino, Valter/0000-0001-8456-525X</t>
  </si>
  <si>
    <t>4 PARK SQUARE, MILTON PARK, ABINGDON OX14 4RN, OXON, ENGLAND</t>
  </si>
  <si>
    <t>0306-7319</t>
  </si>
  <si>
    <t>INT J ENVIRON AN CH</t>
  </si>
  <si>
    <t>Int. J. Environ. Anal. Chem.</t>
  </si>
  <si>
    <t>10.1080/03067310108044388</t>
  </si>
  <si>
    <t>Chemistry, Analytical; Environmental Sciences</t>
  </si>
  <si>
    <t>Chemistry; Environmental Sciences &amp; Ecology</t>
  </si>
  <si>
    <t>465HG</t>
  </si>
  <si>
    <t>WOS:000170583100002</t>
  </si>
  <si>
    <t>Cincinelli, A; Desideri, PG; Lepri, L; Checchini, L; Del Bubba, M; Udisti, R</t>
  </si>
  <si>
    <t>Marine contribution to the chemical composition of coastal and inland Antarctic snow</t>
  </si>
  <si>
    <t>Antarctica; snow; organic compounds; marine aerosol</t>
  </si>
  <si>
    <t>ORGANIC-COMPOUNDS; BAY ANTARCTICA; SEA-WATER; TRANSPORT; COMPONENTS; AEROSOLS; MATTER; SALT; ICE</t>
  </si>
  <si>
    <t>Biogenic and anthropogenic compounds such as n-alkanes, alcohols, aldehydes, alkylbenzenes and phthalates were measured in fresh snow and surface snow taken at different altitudes from Mt. Melbourne (near the coast of Terra Nova Bay, Antarctica) and Rennick Glacier (inland zone) during the 1995/96, 1996/97 and 1998/99 Italian Antarctic expeditions. Among n-alkanes, C-16, C-24 and C-28 were identified in all samples as markers of Baia Terra Nova marine environment, evidencing the important contribution of marine aerosol to the chemical composition of snow even if collected in the inland zones of the continent. More interestingly, the enrichment ratios (Er) of organic compounds with respect to sodium ion concentration, confirmed that fine and hyperfine particles of the aerosol were rich in phthalates and non-volatile n-alkanes, trapped by natural surfactant matter, and were able to reach high altitudes and long distances from the coast according to the spray drop adsorption model (SDAM).</t>
  </si>
  <si>
    <t>Univ Florence, Dept Publ Hlth Epidemiol &amp; Environm Analyt Chem, I-50121 Florence, Italy; Univ Calabria, Dept Chem, I-87030 Arcavacata Di Rende, Italy</t>
  </si>
  <si>
    <t>University of Florence; University of Calabria</t>
  </si>
  <si>
    <t>Desideri, PG (corresponding author), Univ Florence, Dept Publ Hlth Epidemiol &amp; Environm Analyt Chem, Via G Capponi 9, I-50121 Florence, Italy.</t>
  </si>
  <si>
    <t>Udisti, Roberto/M-7966-2015; Cincinelli, Alessandra/A-8468-2011</t>
  </si>
  <si>
    <t>Udisti, Roberto/0000-0003-4440-8238; Cincinelli, Alessandra/0000-0002-6977-4595; Becagli, Silvia/0000-0003-3633-4849</t>
  </si>
  <si>
    <t>GORDON BREACH PUBLISHING, TAYLOR &amp; FRANCIS GROUP</t>
  </si>
  <si>
    <t>PHILADELPHIA</t>
  </si>
  <si>
    <t>325 CHESTNUT ST, 8TH FL, PHILADELPHIA, PA 19106 USA</t>
  </si>
  <si>
    <t>10.1080/03067310108044390</t>
  </si>
  <si>
    <t>WOS:000170583100004</t>
  </si>
  <si>
    <t>Frache, R; Abelmoschi, ML; Grotti, M; Ianni, C; Magi, E; Soggia, F; Capodaglio, G; Turetta, C; Barbante, C</t>
  </si>
  <si>
    <t>Effects of ice melting on Cu, Cd and Pb profiles in Ross Sea waters (Antarctica)</t>
  </si>
  <si>
    <t>copper; cadmium; lead; seawater; Terra Nova Bay; Antarctica; seasonal evolution</t>
  </si>
  <si>
    <t>ANTARCTIC COASTAL SEAWATER; NOVA BAY ANTARCTICA; COPPER COMPLEXATION; SURFACE SEAWATER; AUSTRAL SUMMER; TRACE-METALS; CADMIUM; LEAD; PHYTOPLANKTON; EVOLUTION</t>
  </si>
  <si>
    <t>In the framework of the Italian Research Programme in Antarctica, evolution of dissolved and particulate Cu, Cd and Pb profiles in the coastal waters of Gerlache Inlet (Terra Nova Bay, Western Ross Sea) was studied during the Austral Summer 1997/98. In order to relate the distributions of trace metals with the physical and biological processes, a series of temperature and salinity measures were made, and water samples were collected to determine nutrients and chlorophyll. Samples of pack ice and marine microlayer (50-150 mum) were also collected and analysed. Concerning the surface layer, it was found that metal concentrations are mainly affected by the dynamic of the pack ice melting and phytoplankton activity. The first process influences both the input of metals from meltwaters and the covering of the seawater surface, allowing atmospheric dust input only when all ice has been melt or removed. Direct release of particulate Cu from ice was clearly shown by surface maxima and by the high concentrations of suspended particulate matter and particulate metals found in the ice core section interfaced with the seawater. Differently, the high amount of Cd in the particulate included in the pack ice seems not to affect the concentration in surface particulate; on the contrary, the corresponding increase of dissolved Cd indicates that it is released in dissolved form when the pack ice melts. Surface distribution is further complicated by the effect of phytoplankton activity, which removes Cu and Cd from water, incorporating them into organic particulate. Finally, in absence of pack ice, there is evidence of inputs of Ph and Cu due to atmospheric dust brought into the column water through marine microlayer. In intermediate and deep waters, the vertical distribution of Pb and Cd was characterised by substantially constant profiles, while Cu shown, during the end of the summer and in absence of a well-defined water column stratification, a scavenging-type distribution which overlaps its nutrient-type behaviour.</t>
  </si>
  <si>
    <t>Univ Genoa, Dept Chem &amp; Ind Chem, I-16146 Genoa, Italy; Univ Venice Ca Foscari, Dept Environm Sci, CNR, CSCTA, I-30123 Venice, Italy</t>
  </si>
  <si>
    <t>University of Genoa; Universita Ca Foscari Venezia; Consiglio Nazionale delle Ricerche (CNR)</t>
  </si>
  <si>
    <t>Grotti, M (corresponding author), Univ Genoa, Dept Chem &amp; Ind Chem, Via Dodecaneso 31, I-16146 Genoa, Italy.</t>
  </si>
  <si>
    <t>grotti@chimica.unige.it</t>
  </si>
  <si>
    <t>Turetta, Clara/O-2849-2015; Capodaglio, Gabriele/D-5295-2014; Grotti, Marco/HGU-3949-2022; Barbante, Carlo/B-3195-2011; Magi, Emanuele/C-9564-2011</t>
  </si>
  <si>
    <t>Turetta, Clara/0000-0003-3130-2901; Capodaglio, Gabriele/0000-0002-3689-4865; Grotti, Marco/0000-0001-6956-5761; Magi, Emanuele/0000-0002-8183-5020; Barbante, Carlo/0000-0003-4177-2288</t>
  </si>
  <si>
    <t>10.1080/03067310108044391</t>
  </si>
  <si>
    <t>WOS:000170583100005</t>
  </si>
  <si>
    <t>Calace, N; Castrovinci, D; Maresca, V; Petronio, BM; Pietroletti, M; Scardala, S</t>
  </si>
  <si>
    <t>Aquatic humic substances in pack ice-seawater-sediment system</t>
  </si>
  <si>
    <t>Antarctica; pack ice; sea water; sediment; dissolved humic substances; particulate humic substances; sedimentation process; salinity</t>
  </si>
  <si>
    <t>FULVIC-ACIDS; ORGANIC-MATTER; WEDDELL SEA; MARINE-SEDIMENTS; ANTARCTICA; DYNAMICS; CARBON; WATER; FRACTIONS; NITROGEN</t>
  </si>
  <si>
    <t>Humic substances were isolated from samples of pack ice, sea water and sediments collected in the Gerlache Inlet and Wood Bay (Antarctica). The content and structures of the in-ice dissolved humic substances (DHS) and particulate humic substances (PHS) were determined in samples of cores, in the water column sampled under the pack ice, and in the water column and in sediments when sea ice was absent. The organic matter content of ice cores shows that the pack ice behaves as an organic matter tank. The humification process appears to proceed in the pack ice in which the phytoplanktonic material is trapped during its formation. The concentrations of humic substances isolated from surface seawater sampled under the pack ice layer and when the ice is absent are constant in time. The absence of any increase in humic substance content in surface water and along the water column, when the ice has melted, may be explained by the different salinity values of the ice (from 6 to 20 parts per thousand) and of the seawater (34 parts per thousand), which determine an increase in the sedimentation process rate. This hypothesis is confirmed by fulvic acid/humic acid ratios in sediments that are higher than those found for sediments collected in Antarctic areas where the ice is always absent.</t>
  </si>
  <si>
    <t>Univ Roma La Sapienza, Dept Chem, I-00185 Rome, Italy</t>
  </si>
  <si>
    <t>Sapienza University Rome</t>
  </si>
  <si>
    <t>Petronio, BM (corresponding author), Univ Roma La Sapienza, Dept Chem, P Aldo Moro 5, I-00185 Rome, Italy.</t>
  </si>
  <si>
    <t>scardala, simona/AAH-6834-2021</t>
  </si>
  <si>
    <t>scardala, simona/0000-0002-6220-8160; Calace, Nicoletta/0000-0003-1823-1168</t>
  </si>
  <si>
    <t>10.1080/03067310108044392</t>
  </si>
  <si>
    <t>WOS:000170583100006</t>
  </si>
  <si>
    <t>Calace, N; Petronio, BM; Cini, R; Stortini, AM; Pampaloni, B; Udisti, R</t>
  </si>
  <si>
    <t>Humic marine matter and insoluble materials in Antarctic snow</t>
  </si>
  <si>
    <t>aerosol; snow; Antarctica; humic substances</t>
  </si>
  <si>
    <t>VERTICAL-DISTRIBUTION; SEA-SALT; AEROSOL; WATER; TRANSPORT; BUBBLES</t>
  </si>
  <si>
    <t>The aim of the present work is to show that the insoluble components of marine origin are always present, together with the soluble ones, in both the coarse fraction and in the fine fraction of the marine aerosol and that they make up a non negligible part of the insoluble material in Antarctic snow. The results obtained show that a large proportion of the insoluble matter present in high altitude Antarctic snow consists of marine organic matter involved in the aerosolization process and that the thermolabile fraction (400 degreesC), largely consisting of fulvic acids, increases with increasing altitude. The effect of distance from the sea coast is harder to demonstrate for particulate fulvic acids at least over the short distances investigated herein (150 km) and owing to the complex orography of the sample areas.</t>
  </si>
  <si>
    <t>Univ Roma La Sapienza, Dept Chem, I-00185 Rome, Italy; Univ Florence, Dept Organ Chem U Schiff, I-50121 Florence, Italy; Univ Calabria, Dept Chem, I-87036 Cosenza, Italy</t>
  </si>
  <si>
    <t>Sapienza University Rome; University of Florence; University of Calabria</t>
  </si>
  <si>
    <t>Petronio, BM (corresponding author), Univ Roma La Sapienza, Dept Chem, P A Moro 5, I-00185 Rome, Italy.</t>
  </si>
  <si>
    <t>Udisti, Roberto/M-7966-2015</t>
  </si>
  <si>
    <t>Udisti, Roberto/0000-0003-4440-8238; Calace, Nicoletta/0000-0003-1823-1168; Becagli, Silvia/0000-0003-3633-4849</t>
  </si>
  <si>
    <t>10.1080/03067310108044393</t>
  </si>
  <si>
    <t>WOS:000170583100007</t>
  </si>
  <si>
    <t>Vanni, A; Pellegrino, V; Gamberini, R; Calabria, A</t>
  </si>
  <si>
    <t>An evidence for nitrophenols contamination in Antarctic fresh-water and snow. Simultaneous determination of nitrophenols and nitroarenes at ng/L levels</t>
  </si>
  <si>
    <t>pollution; nitrophenols; nitroarenes; Antarctic environment; lake water; snow</t>
  </si>
  <si>
    <t>PRIORITY POLLUTANT PHENOLS; LIQUID-CHROMATOGRAPHY; MASS-SPECTROMETRY; EXTRACTION; SURFACE; HPLC</t>
  </si>
  <si>
    <t>A selective method for simultaneous extraction and analysis of nitroarenes and nitrophenols at ng/L levels from water samples is presented. Discontinue Liquid-Liquid extractions followed by a pre-concentration step (Enrichment Factor =1000) were performed to separate and extract sixteen nitrophenols (NP) and nitroarenes (NA) from aqueous matrices, before a RP-HPLC and a FID-HRGC analyses, respectively. Limits of detection were from 5 to 30 ng/L for NP and from 0.1 to 1 mug/L for NA. The procedure was employed to investigate the supposed presence of predicted analytes in Antarctic water samples (lake water and snow) collected during the last Italian expeditions of Antarctica Research National Project (PNRA). An evidence for 4-nitrophenol and 2-nitrophenol trace levels pollution, carried out by this method, was confirmed by LC-DAD-MS analysis. Some hypotheses concerning the sources of such a contamination are discussed.</t>
  </si>
  <si>
    <t>Univ Turin, Dept Analyt Chem, I-10125 Turin, Italy</t>
  </si>
  <si>
    <t>Vanni, A (corresponding author), Univ Turin, Dept Analyt Chem, Via P Giuria 5, I-10125 Turin, Italy.</t>
  </si>
  <si>
    <t>vanni@ch.unito.it</t>
  </si>
  <si>
    <t>10.1080/03067310108044394</t>
  </si>
  <si>
    <t>WOS:000170583100008</t>
  </si>
  <si>
    <t>Soggia, F; Abelmoschi, ML; Dalla Riva, S; De Pellegrini, R; Frache, R</t>
  </si>
  <si>
    <t>Antarctic Environmental Specimen Bank - First 5 years of experience</t>
  </si>
  <si>
    <t>Environmental Specimen Bank; Antarctica; environmental monitoring; long-term storage; storage experiment; retrospective analysis</t>
  </si>
  <si>
    <t>PAGOTHENIA-BERNACCHII; MERCURY</t>
  </si>
  <si>
    <t>The Project on an Antarctic Environmental Specimen Bank (Banca Campioni Ambientali Antartici BCAA) began in 1994 in order to collect and classify samples from the Antarctic ecosystem to be used for future studies. The objectives of the project are similar to the general aims of the Environmental Specimen Banks, but they specifically focus on the chemical aspects concerning the research activities of the Italian Project on the Micropollutants Chemistry (Sector Chemical Contamination of the Italian Antarctic Research Programme - PNRA). During these first years the facilities suitable for storing a significant number of specimens (now over 2,000) at different temperatures (from -30 degreesC to -150 degreesC) and a database system, specifically designed for managing and consulting information concerning both the storage of samples and data on their chemical characterisation, have been developed. In addition, a programme for validating the procedures of Antarctic organisms storage by checking the stability of some chemical parameters both in fresh and freeze-dried specimens has been developed.</t>
  </si>
  <si>
    <t>Univ Genoa, Dipartimento Chim &amp; Chim Ind, Sez Chim Analit &amp; Ambientale, I-16146 Genoa, Italy; Univ Genoa, Dipartimento Chim &amp; Tecnol Farmaceut, Sez Chim Gen Inorgan, I-16147 Genoa, Italy</t>
  </si>
  <si>
    <t>University of Genoa; University of Genoa</t>
  </si>
  <si>
    <t>Soggia, F (corresponding author), Univ Genoa, Dipartimento Chim &amp; Chim Ind, Sez Chim Analit &amp; Ambientale, Via Dodecaneso 31, I-16146 Genoa, Italy.</t>
  </si>
  <si>
    <t>soggia@chimica.unige.it</t>
  </si>
  <si>
    <t>1029-0397</t>
  </si>
  <si>
    <t>10.1080/03067310108044395</t>
  </si>
  <si>
    <t>WOS:000170583100009</t>
  </si>
  <si>
    <t>Hanna, E; Bamber, J</t>
  </si>
  <si>
    <t>Derivation and optimization of a new Antarctic sea-ice record</t>
  </si>
  <si>
    <t>INTERNATIONAL JOURNAL OF REMOTE SENSING</t>
  </si>
  <si>
    <t>PASSIVE MICROWAVE; PARAMETERS; REDUCTION</t>
  </si>
  <si>
    <t>The recently developed Bristol passive-microwave-satellite algorithm for deriving sea-ice concentration has possible theoretical and practical advantages over the widely used NASA/Team and Comiso algorithms. It was applied for the first time here to derive a long-term sea-ice series. The Bristol algorithm was reparameterized by manually tuning its brightness temperature tie-points both seasonally and interannually to systematically account for changing environmental conditions, satellite radiometer drift and differences in calibration and observing time between the three Special Sensor Microwave/Imager (SSM/I) sensors. In addition, an automatic algorithm was developed to remove residual noise in SSM/I images. The reparameterized Bristol algorithm performed well against the others tested in an Advanced Very High Resolution Radiometer ( AVHRR) thermal infrared case-study validation. The SSM/I sea-ice extent was compared with Geosat radar altimetry and showed good agreement in winter; reasons are proposed to explain the summer difference. The optimized Antarctic sea-ice record spans the whole of the available SSM/I period (July 1987 to December 1997) and reveals a 3 +/- 0.3% (3 +/- 1.5%) increase in extent (area); it has been used to study Antarctic sea-ice/atmosphere/ocean interactions and climatic couplings.</t>
  </si>
  <si>
    <t>Univ Reading, Dept Meteorol, Reading RG6 6BB, Berks, England; Univ Bristol, Sch Geog Sci, Ctr Remote Sensing, Bristol BS8 1SS, Avon, England</t>
  </si>
  <si>
    <t>University of Reading; University of Bristol</t>
  </si>
  <si>
    <t>Univ Reading, Dept Meteorol, Earley Gate,POB 243, Reading RG6 6BB, Berks, England.</t>
  </si>
  <si>
    <t>Hanna, Edward/W-5927-2019; Hanna, Edward/H-2219-2016; Bamber, Jonathan/C-7608-2011</t>
  </si>
  <si>
    <t>Hanna, Edward/0000-0002-8683-182X; Hanna, Edward/0000-0002-8683-182X; Bamber, Jonathan/0000-0002-2280-2819</t>
  </si>
  <si>
    <t>0143-1161</t>
  </si>
  <si>
    <t>1366-5901</t>
  </si>
  <si>
    <t>INT J REMOTE SENS</t>
  </si>
  <si>
    <t>Int. J. Remote Sens.</t>
  </si>
  <si>
    <t>10.1080/014311601750038884</t>
  </si>
  <si>
    <t>Remote Sensing; Imaging Science &amp; Photographic Technology</t>
  </si>
  <si>
    <t>382UP</t>
  </si>
  <si>
    <t>WOS:000165844400008</t>
  </si>
  <si>
    <t>Barbini, R; Colao, F; Fantoni, R; Palucci, A; Ribezzo, S</t>
  </si>
  <si>
    <t>Differential lidar fluorosensor system used for phytoplankton bloom and seawater quality monitoring in Antarctica</t>
  </si>
  <si>
    <t>CHLOROPHYLL FLUORESCENCE</t>
  </si>
  <si>
    <t>A mobile fluorosensor system has been built to participate in oceanographic campaigns. During the first mission, carried out within the XIII Italian Antarctic Expedition (Research Vessel Italica, November 1997 to January 1998), seawater quality parameters ( phytoplankton concentration, yellow matter, turbidity and biomass productivity) were remotely and locally monitored both in the Ross Sea and along the route back to New Zealand. Data were georeferenced by means of a GPS recorder to be subsequently plotted on thematic maps. The core of the system is a compact lidar fluorosensor capable of single or dual laser excitation of the target. In the single excitation mode, the detection of chromophores peculiar to various water impurities is possible, while dual laser excitation is necessary to monitor the phytoplankton photosynthetic activity on the chlorophyll emission channel. A lamp spectrofluorometer, a pulsed amplitude fluorometer (PAM) and a solar radiance detector completed the set of instruments onboard.</t>
  </si>
  <si>
    <t>ENEA, Ctr Ric Frascati, Dipartimento INN FIS, I-00044 Frascati, Italy</t>
  </si>
  <si>
    <t>Italian National Agency New Technical Energy &amp; Sustainable Economics Development</t>
  </si>
  <si>
    <t>Palucci, A (corresponding author), ENEA, Ctr Ric Frascati, Dipartimento INN FIS, Via enrico Fermi 45, I-00044 Frascati, Italy.</t>
  </si>
  <si>
    <t>PALUCCI, ANTONIO/0009-0006-9442-1544</t>
  </si>
  <si>
    <t>11 NEW FETTER LANE, LONDON EC4P 4EE, ENGLAND</t>
  </si>
  <si>
    <t>10.1080/014311601449989</t>
  </si>
  <si>
    <t>393MC</t>
  </si>
  <si>
    <t>WOS:000166471600010</t>
  </si>
  <si>
    <t>Goodwin, GL; Breed, AM</t>
  </si>
  <si>
    <t>Rawer, K; Bilitza, D; Reinisch, BW</t>
  </si>
  <si>
    <t>Total electron content in Australia corrected for receiver/satellite offset bias and compared with IRI and PIM predictions</t>
  </si>
  <si>
    <t>INTERNATIONAL REFERENCE IONOSPHERE - WORKSHOP 1999</t>
  </si>
  <si>
    <t>International Reference Ionosphere Workshop (IRI)</t>
  </si>
  <si>
    <t>AUG 09-12, 1999</t>
  </si>
  <si>
    <t>UNIV MASSACHUSETTS, CTR ATMOSPHER RES, LOWELL, MASSACHUSETTS</t>
  </si>
  <si>
    <t>UNIV MASSACHUSETTS, CTR ATMOSPHER RES</t>
  </si>
  <si>
    <t>MODEL</t>
  </si>
  <si>
    <t>A procedure is presented for removing receiver and satellite (transmitter) offset bias from total electron content (TEC) data obtained using Global Positioning System (GPS) satellites from 1991 to 1998. Samples of TEC data from 1991 to 1995 for Australia have been corrected for bias. Corrected TEC values show substantial agreement with model predictions from the International Reference Ionosphere (IRT) and the Paramaterized Ionospheric Model (PIM). (C) 2001 COSPAR. Published by Elsevier Science Ltd. All rights reserved.</t>
  </si>
  <si>
    <t>Univ S Australia, Mawson Lakes, SA 5095, Australia; Australian Antarctic Div, Kingston, Tas 7050, Australia</t>
  </si>
  <si>
    <t>University of South Australia; Australian Antarctic Division</t>
  </si>
  <si>
    <t>Goodwin, GL (corresponding author), Univ S Australia, Mawson Lakes, SA 5095, Australia.</t>
  </si>
  <si>
    <t>10.1016/S0273-1177(00)00164-2</t>
  </si>
  <si>
    <t>BS43Y</t>
  </si>
  <si>
    <t>WOS:000169859500009</t>
  </si>
  <si>
    <t>Norman, MD; Finnn, J</t>
  </si>
  <si>
    <t>Revision of the Octopus horridus species-group, including erection of a new subgenus and description of two member species from the Great Barrier Reef, Australia</t>
  </si>
  <si>
    <t>INVERTEBRATE TAXONOMY</t>
  </si>
  <si>
    <t>CEPHALOPODA; OCTOPODIDAE; MOLLUSCA</t>
  </si>
  <si>
    <t>The tropical Indo-West Pacific region contains a distinctive group of small to moderate-sized octopuses referred to in the past as the Octopus horridus species-group. Member species are found primarily on intertidal reef flats. They possess small bodies, long arms and complex skin sculpture and body patterns enabling excellent camouflage. When attacked, these octopuses are capable of autotomising their arms at the base: the writhing severed arm acting as a decoy to predators and aiding escape. Lost arms regenerate within 2-3 months. Attributes of this group of octopuses are described and the subgenus Abdopus, subgen. nov. is here coined to define this group. Historically, many members of this subgenus have been incorrectly identified as Octopus horridus, a distinct large-egg species known only from the Red Sea and the northwest Indian Ocean. Seven species are here recognised as belonging in Abdopus, subgen. nov. Two member species from Great Barrier Reef waters (Octopus aculeatus d'Orbigny, 1834 and Octopus capricornicus, sp. nov.) are described. A number of additional, as yet undescribed, species occur throughout the Indo-West Pacific region. Certain earlier works have linked other octopus genera and species with members of this subgenus on the grounds of long arms and arm autotomy. Significant differences occur in the morphologies of these taxa and the nature of the arm autotomy processes. It is proposed that these groups have evolved independently and that arm autotomy has arisen more than once amongst the octopuses. The restriction of the subgenus Abdopus to the tropical Indo-West Pacific region suggests relatively recent origins and radiation.</t>
  </si>
  <si>
    <t>Univ Melbourne, Dept Zool, Parkville, Vic 3052, Australia; Univ Tasmania, Inst Antarctic &amp; So Ocean Studies, Hobart, Tas 7000, Australia</t>
  </si>
  <si>
    <t>University of Melbourne; University of Tasmania</t>
  </si>
  <si>
    <t>Norman, MD (corresponding author), Museum Victoria, POB 666E, Melbourne, Vic 3001, Australia.</t>
  </si>
  <si>
    <t>0818-0164</t>
  </si>
  <si>
    <t>INVERTEBR TAXON</t>
  </si>
  <si>
    <t>Invertebr. Taxon.</t>
  </si>
  <si>
    <t>10.1071/IT99018</t>
  </si>
  <si>
    <t>410ZR</t>
  </si>
  <si>
    <t>WOS:000167473800002</t>
  </si>
  <si>
    <t>Krzeminska, E</t>
  </si>
  <si>
    <t>Nothotrichocera Alexander (Diptera: Trichoceridae):: new species, redescriptions and phylogenetic relationships within the genus</t>
  </si>
  <si>
    <t>Nothotrichocera antarctica (Edwards), Nothotrichocera tonnoiri Alexander and Nothotrichocera tasmanica Alexander are redescribed and a new species of the cingulata- group, N. collessi, sp. nov., is described. The eleven species of Nothotrichocera belong in four well-defined groups of species, which have evolved in geographically isolated, circum-Antarctic regions. The unique positions of N. tonnoiri and N. tasmanica are stressed. A key to the species-groups is given and a phylogenetic analysis of the genus is presented.</t>
  </si>
  <si>
    <t>Polish Acad Sci, Inst Systemat &amp; Evolut Anim, PL-30016 Krakow, Poland</t>
  </si>
  <si>
    <t>Polish Academy of Sciences; Institute of Systematics &amp; Evolution of Animals of the Polish Academy of Sciences</t>
  </si>
  <si>
    <t>Krzeminska, E (corresponding author), Polish Acad Sci, Inst Systemat &amp; Evolut Anim, Ul Slawkowska 17, PL-30016 Krakow, Poland.</t>
  </si>
  <si>
    <t>Krzemińska, Ewa/AAD-6661-2021</t>
  </si>
  <si>
    <t>Krzemińska, Ewa/0000-0002-3431-9963</t>
  </si>
  <si>
    <t>10.1071/IT96033</t>
  </si>
  <si>
    <t>425RM</t>
  </si>
  <si>
    <t>WOS:000168305500002</t>
  </si>
  <si>
    <t>Grechko, EI; Dzhola, AV; Yurganov, LN</t>
  </si>
  <si>
    <t>Smith, WL; Timofeyev, YM</t>
  </si>
  <si>
    <t>Variations of carbon monoxide, methane, and water vapor in the total atmospheric column over Russia (Zvenigorod Station) between 1970 and 1999</t>
  </si>
  <si>
    <t>IRS 2000: CURRENT PROBLEMS IN ATMOSPHERIC RADIATION</t>
  </si>
  <si>
    <t>STUDIES IN GEOPHYSICAL OPTICS AND REMOTE SENSING</t>
  </si>
  <si>
    <t>International Radiation Symposium</t>
  </si>
  <si>
    <t>JUL 24-29, 2000</t>
  </si>
  <si>
    <t>ST PETERSBURG STATE UNIV, RES INST PHYS, ST PETERSBURG, RUSSIA</t>
  </si>
  <si>
    <t>ST PETERSBURG STATE UNIV, RES INST PHYS</t>
  </si>
  <si>
    <t>The increase in the climate active gases content in the atmosphere is one of the reasons of the climate variations. Systematic spectroscopic measurements of CO, CH4 and H2O were carried out at Zvenigorod station of the Institute of Atmospheric Physics (IAP) RAN as well as in expeditions, including, Arctic and Antarctic daring last 30 years (Yurganov et al. 1995, 1997, Golitsyn et al 1991). All CO, CH4, and H2O spectroscopic measurements analysed in this paper were made using 855 mm focal length Ebert/Fastie-type spectrometer, with a 300 grooves/mm. grating and a solar tracker. Spectrometer provides a resolution of nearly 0.2 cm(-1) in the 2,000-3,500 cm(-1) spectral region. A thermoelectrically cooled PbSe detector and PC-based data acquisition system were used. The standard deviation of points for a day with steady conditions is typically 4-6%. Normally 10-30 spectra per day were observed, therefore a statistical 1-sigma uncertainty of the daily average was around 1%. Statistical uncertainty in the monthly mean amounted to 3-5%. The analysis of total column spectroscopic CO observations revealed positive linear trend between 1970 and 1999 of about 0.96 ppbv/yr or 0.9% per year. This rate of CO growth is almost 3 times higher than the rate between 1920 and 1950, obtained from ice core data (Haan et al., 1996). Sensitivities of CO mixing ratio in the troposphere to changes in total ozone and stratospheric aerosol have been assessed from the smoothed monthly measurements. Corrections due to unstable aerosol and total ozone were introduced into the experimental data. The CO trend over the entire measurement period which would be expected under conditions of constant 'undisturbed' total ozone and absence of stratospheric aerosol would be 1.3 ppbv/yr, or 30% higher than the observed trend. A positive trend in OH concentrations between 1980 and 1999 was estimated to be 0.6 +/- 0.3 %/yr. Analysis of total column CH, observations revealed positive linear trend between 1974 and 1999 of about 0,5 %/yr. Trend of H2O between 1986 and 1997 is equal to -1.1%/yr.</t>
  </si>
  <si>
    <t>Russian Acad Sci, Inst Atmospher Phys, Moscow 109017, Russia</t>
  </si>
  <si>
    <t>Russian Academy of Sciences; Obukhov Institute of Atmospheric Physics of Russian Academy of Sciences</t>
  </si>
  <si>
    <t>Grechko, EI (corresponding author), Russian Acad Sci, Inst Atmospher Phys, Moscow 109017, Russia.</t>
  </si>
  <si>
    <t>A DEEPAK PUBLISHING</t>
  </si>
  <si>
    <t>HAMPTON</t>
  </si>
  <si>
    <t>101 RESEARCH DRIVE, PO BOX 7390, HAMPTON, VA 23666 USA</t>
  </si>
  <si>
    <t>0-937194-43-3</t>
  </si>
  <si>
    <t>STUD GEO OP</t>
  </si>
  <si>
    <t>Environmental Sciences; Meteorology &amp; Atmospheric Sciences; Remote Sensing; Spectroscopy</t>
  </si>
  <si>
    <t>Environmental Sciences &amp; Ecology; Meteorology &amp; Atmospheric Sciences; Remote Sensing; Spectroscopy</t>
  </si>
  <si>
    <t>BU75Q</t>
  </si>
  <si>
    <t>WOS:000176920100222</t>
  </si>
  <si>
    <t>Kensley, B</t>
  </si>
  <si>
    <t>Kensley, B; Brusca, RC</t>
  </si>
  <si>
    <t>Biogeography of the marine Isopoda of the Indian Ocean, with a check-list of species and records</t>
  </si>
  <si>
    <t>ISOPOD SYSTEMATICS AND EVOLUTION</t>
  </si>
  <si>
    <t>CRUSTACEAN ISSUES</t>
  </si>
  <si>
    <t>2nd International Isopod Conference</t>
  </si>
  <si>
    <t>JUL 16-17, 1998</t>
  </si>
  <si>
    <t>AMSTERDAM, NETHERLANDS</t>
  </si>
  <si>
    <t>CIROLANID ISOPOD; SOUTHERN AUSTRALIA; CRUSTACEA; GENUS; SPHAEROMATIDAE; PERACARIDA; CERCEIS; SEA</t>
  </si>
  <si>
    <t>The marine isopod fauna of the Indian Ocean is reviewed in terms of its species diversity and biogeography. For the purposes of the review, the northeastern boundary of the Indian Ocean is defined at Cape Talpot in northern Western Australia and at Rottnest Island/Perth in southern Western Australia. The history of isopod systematics in the Indian Ocean is reviewed by region, and the great lack of knowledge for Madagascar, parts of Western Australia, the east coast of Africa, and the continental shelf/slope overall, is noted. Previous research on the biogeographical provinces or regions of the Indian Ocean is briefly reviewed. For some groups of organisms, an impression of overall homogeneity for the tropical-subtropical area may prevail. However, close examination dispels the idea of homogeneity, and a number of sub-provinces or regions can be characterized. For a biogeographic review of the Indian Ocean marine isopods, a species list was compiled, which includes as many records for each species as could be found. This list contains approximately 1000 species in 303 genera. About 84% of the species are endemic to the Indian Ocean overall, but only 18% of the genera, a pattern consistent with the geological history especially of the Tethys Sea and the evolution of the Indian Ocean. This pattern is also consistent for a benthic-dwelling group which lacks a pelagic stage and whose juveniles emerge from the brood-pouch as small versions of the adults. More than half the species are known from only a single record. Seven sub-provinces or regions are characterized in terms of their isopod fauna: 1. Sub-Antarctic Region, 79% of 135 species are endemic; 2. South African Region, 68% of 226 species are endemic; 3. Western Australia Region, 58% of 115 species are endemic; 4. East African Region, 46% of 144 species are endemic; 5. Red Sea Region, 63% of 105 species are endemic; 6. Indian Region, 62% of 268 species are endemic; and 7. Madagascar Region, 63% of 168 species are endemic. These levels of endemism are higher than those seen for most organisms for which data exist.</t>
  </si>
  <si>
    <t>Natl Museum Nat Hist, Dept Invertebrate Zool, Smithsonian Inst, Washington, DC 20560 USA</t>
  </si>
  <si>
    <t>Smithsonian Institution; Smithsonian National Museum of Natural History</t>
  </si>
  <si>
    <t>Natl Museum Nat Hist, Dept Invertebrate Zool, Smithsonian Inst, Washington, DC 20560 USA.</t>
  </si>
  <si>
    <t>0168-6356</t>
  </si>
  <si>
    <t>90-5809-327-1</t>
  </si>
  <si>
    <t>CRUSTACEAN ISS</t>
  </si>
  <si>
    <t>Crustacean Iss.</t>
  </si>
  <si>
    <t>BS24M</t>
  </si>
  <si>
    <t>WOS:000169154800006</t>
  </si>
  <si>
    <t>Gusso, CC; Gravina, MF</t>
  </si>
  <si>
    <t>Faunistic and biological traits of some Antarctic Pycnogonida</t>
  </si>
  <si>
    <t>ITALIAN JOURNAL OF ZOOLOGY</t>
  </si>
  <si>
    <t>Pycnogonida; Antarctic region fauna</t>
  </si>
  <si>
    <t>Taxonomic and biogeographic data on Pycnogonida collected in the course of Italian Antarctic campaigns at Terra Nova Bay (Ross Sea) (16 species, 84 individuals) and in the Straits of Magellan (6 species, 127 individuals) are presented. Some considerations on body morphology, feeding habits and reproductive traits of Colossendeis spp, Austrodecus curtipes, Tanystylum neorhetum and Nymphon arcuatim are reported.</t>
  </si>
  <si>
    <t>Univ Roma La Sapienza, Dipartimento Biol Anim &amp; Uomo, I-00185 Rome, Italy</t>
  </si>
  <si>
    <t>Univ Roma La Sapienza, Dipartimento Biol Anim &amp; Uomo, V Univ 32, I-00185 Rome, Italy.</t>
  </si>
  <si>
    <t>1125-0003</t>
  </si>
  <si>
    <t>1748-5851</t>
  </si>
  <si>
    <t>ITAL J ZOOL</t>
  </si>
  <si>
    <t>Ital. J. Zoolog.</t>
  </si>
  <si>
    <t>10.1080/11250000109356428</t>
  </si>
  <si>
    <t>517WZ</t>
  </si>
  <si>
    <t>Bronze</t>
  </si>
  <si>
    <t>WOS:000173634600011</t>
  </si>
  <si>
    <t>Merzlyakov, EG; Portnyagin, YI; Makarov, NA; Forbes, J; Palo, S</t>
  </si>
  <si>
    <t>Interdiurnal wind oscillations in the Antarctic lower thermosphere from meteor radar measurements at the Amundsen-Scott and Molodezhnaya stations</t>
  </si>
  <si>
    <t>IZVESTIYA ATMOSPHERIC AND OCEANIC PHYSICS</t>
  </si>
  <si>
    <t>SOUTH-POLE; 4-DAY WAVE; MESOSPHERE</t>
  </si>
  <si>
    <t>Interdiurnal wind oscillations in the Antarctic lower thermosphere are analyzed from simultaneous wind measurements in four different directions of sounding conducted at the Amundsen-Scott and Molodezhnaya stations in 1995-1996. The records are unique in continuity (with about 6% gaps on the average) and length (covering the entire annual cycle). The analysis results for the data over the South Pole are compared to those for the wind measurements conducted simultaneously in four different directions of sounding at the Molodezhnaya station in 1990-1991. The wind variability in the Antarctic lower thermosphere is shown to have a distinct seasonal cycle, in which summer and winter seasons and periods of transient circulation can be identified. Each of the seasons is characterized by the intensity of oscillations (the weakest ones are observed in summer) and by the prevailing direction of wave propagation: westward in summer, eastward in winter, and a zonally symmetric distribution of wind fluctuations during the transition periods. The sources of the observed wind variability are discussed.</t>
  </si>
  <si>
    <t>Taifun Res &amp; Prod Assoc, Obninsk 249020, Kaluga Oblast, Russia; Univ Colorado, Boulder, CO 80309 USA</t>
  </si>
  <si>
    <t>Merzlyakov, EG (corresponding author), Taifun Res &amp; Prod Assoc, Pr Lenina 82, Obninsk 249020, Kaluga Oblast, Russia.</t>
  </si>
  <si>
    <t>Forbes, Jeffrey M/B-7234-2016; Merzlyakov, E G/U-5443-2017</t>
  </si>
  <si>
    <t>Forbes, Jeffrey M/0000-0001-6937-0796; Merzlyakov, E G/0000-0001-8344-5491; PALO, SCOTT/0000-0002-4729-4929</t>
  </si>
  <si>
    <t>0001-4338</t>
  </si>
  <si>
    <t>IZV ATMOS OCEAN PHY+</t>
  </si>
  <si>
    <t>Izv. Atmos. Ocean. Phys.</t>
  </si>
  <si>
    <t>Meteorology &amp; Atmospheric Sciences; Oceanography</t>
  </si>
  <si>
    <t>405PZ</t>
  </si>
  <si>
    <t>WOS:000167169400005</t>
  </si>
  <si>
    <t>Shearer, WT; Lugg, DJ; Rosenblatt, HM; Nickolls, PM; Sharp, RM; Reuben, JM; Ochs, HD</t>
  </si>
  <si>
    <t>Antibody responses to bacteriophage φX-174 in human subjects exposed to the Antarctic winter-over model of spaceflight</t>
  </si>
  <si>
    <t>JOURNAL OF ALLERGY AND CLINICAL IMMUNOLOGY</t>
  </si>
  <si>
    <t>spaceflight model; Antarctic winter; phi X-174 antibody responses</t>
  </si>
  <si>
    <t>CELL-MEDIATED-IMMUNITY; PROTEIN-KINASE-C; SPACE-FLIGHT; INTERFERON-PRODUCTION; SLEEP-DEPRIVATION; DURATION MISSIONS; HUMORAL IMMUNITY; MICROGRAVITY; DEFICIENCY; LEUKOCYTES</t>
  </si>
  <si>
    <t>Background: It has been proposed that exposure to long-term spaceflight conditions (stress, isolation, sleep disruption, containment, microbial contamination, and solar radiation) or to ground-based models of spaceflight will alter human immune responses, but specific antibody responses hale not been fully evaluated. Objective: We sought to determine whether exposure to the 8-month Antarctic winter-over model of spaceflight would alter human antibody responses. Methods: During the 1999 Australian National Antarctic Research Expeditions, 11 adult study subjects at Casey, Antarctica, and 7 control subjects at Macquarie Island, sub-Antarctica, received primary and secondary immunizations with the T cell-dependent neoantigen bacteriophage phiX-174. Periodic plasma samples were analyzed for specific antibody function. Results: All of the subjects from Casey, Antarctica cleared bacteriophage phiX-174 normally by 1 week after primary immunization, and all had normal primary and secondary antibody responses, including immunologic memory amplification and snitch from IgM to IgG antibody production. One subject showed a high normal pattern, and one subject had a low normal pattern. The control subjects from Macquarie Island also had normal immune responses to bacteriophage phiX-174. Conclusions: These data do not support the hypothesis that de novo specific antibody responses of subjects become defective during the conditions of the Antarctic winter-over. Because the Antarctic winter-over model of spaceflight lacks the important factors of microgravity and solar radiation, caution must be used in interpreting these data to anticipate normal antibody responses in long-term spaceflight.</t>
  </si>
  <si>
    <t>Texas Childrens Hosp, Baylor Coll Med, Houston, TX 77030 USA; Univ Texas, MD Anderson Canc Ctr, Houston, TX 77030 USA; Univ Washington, Seattle, WA 98195 USA</t>
  </si>
  <si>
    <t>Baylor College of Medicine; University of Texas System; UTMD Anderson Cancer Center; University of Washington; University of Washington Seattle</t>
  </si>
  <si>
    <t>Shearer, WT (corresponding author), Texas Childrens Hosp, Baylor Coll Med, 6621 Fannin St,MC 1-3291, Houston, TX 77030 USA.</t>
  </si>
  <si>
    <t>Shearer, William/0000-0002-2483-2130</t>
  </si>
  <si>
    <t>MOSBY, INC</t>
  </si>
  <si>
    <t>ST LOUIS</t>
  </si>
  <si>
    <t>11830 WESTLINE INDUSTRIAL DR, ST LOUIS, MO 63146-3318 USA</t>
  </si>
  <si>
    <t>0091-6749</t>
  </si>
  <si>
    <t>J ALLERGY CLIN IMMUN</t>
  </si>
  <si>
    <t>J. Allergy Clin. Immunol.</t>
  </si>
  <si>
    <t>10.1067/mai.2001.112269</t>
  </si>
  <si>
    <t>Allergy; Immunology</t>
  </si>
  <si>
    <t>394PW</t>
  </si>
  <si>
    <t>WOS:000166533300026</t>
  </si>
  <si>
    <t>Caroli, S; Senofonte, O; Caimi, S; Pauwels, J; Kramer, GN; Robouch, P</t>
  </si>
  <si>
    <t>Production of a new certified reference material for trace elements in Antarctic krill</t>
  </si>
  <si>
    <t>JOURNAL OF ANALYTICAL ATOMIC SPECTROMETRY</t>
  </si>
  <si>
    <t>SEDIMENT</t>
  </si>
  <si>
    <t>Under the coordination of the Istituto Superiore di anita (ISS), Rome, Italy, and of the Institute for Reference Materials and Measurements of the Joint Research Centre, European Commission (EC-JRC-IRMM), Geel, Belgium, a new certified reference material (CRM) for trace elements based on Antarctic krill was produced. The instrumental techniques resorted to in the certification project included flame, hydride generation, cold vapour and electrothermal atomization atomic absorption spectrometry (with and without Zeeman background correction), inductively coupled plasma atomic emission spectrometry, quadrupole and magnetic sector high resolution inductively coupled plasma mass spectrometry and neutron activation analysis. The certified values established for selected trace elements are as follows (in mug g(-1) +/- the 95% confidence interval): As, 5.02 +/- 0.40; Cd, 0.73 +/- 0.06; Co, 0.110 +/- 0.010; Cu, 65.2 +/- 2.3; Fe, 56.6 +/- 2.3; Mn, +/- 4.12 +/- 0.10; Ni, 1.28 +/- 0.12; Pb, 1.11 +/- 0.09; Se, 7.37 +/- 1.13; and Zn, 66.0 +/- 2.0. Each value was obtained by combining data of several laboratories provided that four or more independent methods of analysis were used. For several other elements (Ag, Al, Br, Ca, Cl, Cr, Hg, I, K, Mg, Na, Rb, Sc, Sn, Sr and V) informative concentrations were given whenever the above criteria could not be respected.</t>
  </si>
  <si>
    <t>Ist Super Sanita, Dept Appl Toxicol, I-00161 Rome, Italy; Commiss European Communities, Joint Res Ctr, Inst Reference Mat &amp; Measurements, B-2440 Geel, Belgium</t>
  </si>
  <si>
    <t>Istituto Superiore di Sanita (ISS); European Commission Joint Research Centre; EC JRC Institute for Reference Materials &amp; Measurements (IRMM)</t>
  </si>
  <si>
    <t>Caroli, S (corresponding author), Ist Super Sanita, Dept Appl Toxicol, Viale Regina Elena 299, I-00161 Rome, Italy.</t>
  </si>
  <si>
    <t>Caimi, Stefano/HIR-3344-2022</t>
  </si>
  <si>
    <t>Caimi, Stefano/0000-0001-5338-4026</t>
  </si>
  <si>
    <t>ROYAL SOC CHEMISTRY</t>
  </si>
  <si>
    <t>THOMAS GRAHAM HOUSE, SCIENCE PARK, MILTON RD,, CAMBRIDGE CB4 0WF, CAMBS, ENGLAND</t>
  </si>
  <si>
    <t>0267-9477</t>
  </si>
  <si>
    <t>J ANAL ATOM SPECTROM</t>
  </si>
  <si>
    <t>J. Anal. At. Spectrom.</t>
  </si>
  <si>
    <t>10.1039/b101423o</t>
  </si>
  <si>
    <t>Chemistry, Analytical; Spectroscopy</t>
  </si>
  <si>
    <t>Chemistry; Spectroscopy</t>
  </si>
  <si>
    <t>484UJ</t>
  </si>
  <si>
    <t>WOS:000171707700006</t>
  </si>
  <si>
    <t>Benjumea, B; Teixidó, T</t>
  </si>
  <si>
    <t>Seismic reflection constraints on the glacial dynamics of Johnsons Glacier, Antarctica</t>
  </si>
  <si>
    <t>JOURNAL OF APPLIED GEOPHYSICS</t>
  </si>
  <si>
    <t>seismic interpretation; seismic sources; glacier environment; near-surface seismic; glacier structure</t>
  </si>
  <si>
    <t>ICE SHELF; BENEATH; SEARCH</t>
  </si>
  <si>
    <t>During two Antarctic summers (1996-1997 and 1997-1998), five seismic refraction and two reflection profiles were acquired on the Johnsons Glacier (Livingston Island, Antarctica) in order to obtain information about the structure of the ice. characteristics of the ice-bed contact and basement topography. An innovative technique has been used for the acquisition of reflection data to optimise the field survey schedule. Different shallow seismic sources were used during each field season: Seismic Impulse Source System (SISSY) for the first field survey and low-energy explosives (pyrotechnic noisemakers) during the second one. A comparison between these two shallow seismic sources has been performed, showing that the use of the explosives is a better seismic source in this ice environment. This is one of the first studies where this type of source has been used. The analysis of seismic data corresponding to one of the reflection profiles (L3) allows us to delineate sectors with different glacier structure (accumulation and ablation zones) without using glaciological data. Moreover, vertical discontinuities were detected by the presence of back-scattered energy and the abrupt change in frequency content of first arrivals shown in shot records. After the raw data analysis, standard processing led us to a clear seismic image of the underlying bed topography. which can be correlated with the ice flow velocity anomalies. The information obtained from seismic data on the internal structure of the glacier, location of fracture zones and the topography of the ice-bed interface constrains the glacial dynamics of Johnsons Glacier. (C) 2001 Elsevier Science B.V. All rights reserved.</t>
  </si>
  <si>
    <t>Inst Andaluz Geofis, Granada 18071, Spain; Inst Cartog Catalunya, Barcelona 08038, Spain</t>
  </si>
  <si>
    <t>Inst Andaluz Geofis, Campus Univ Cartuja S-N, Granada 18071, Spain.</t>
  </si>
  <si>
    <t>benjumea@iag.ugr.es</t>
  </si>
  <si>
    <t>Benjumea, Beatriz/L-5577-2014; Ullod, Teresa Teixido/L-3664-2014</t>
  </si>
  <si>
    <t>Benjumea, Beatriz/0000-0002-0673-3411; Ullod, Teresa Teixido/0000-0002-0387-2205</t>
  </si>
  <si>
    <t>ELSEVIER</t>
  </si>
  <si>
    <t>RADARWEG 29, 1043 NX AMSTERDAM, NETHERLANDS</t>
  </si>
  <si>
    <t>0926-9851</t>
  </si>
  <si>
    <t>1879-1859</t>
  </si>
  <si>
    <t>J APPL GEOPHYS</t>
  </si>
  <si>
    <t>J. Appl. Geophys.</t>
  </si>
  <si>
    <t>10.1016/S0926-9851(00)00037-9</t>
  </si>
  <si>
    <t>Geosciences, Multidisciplinary; Mining &amp; Mineral Processing</t>
  </si>
  <si>
    <t>Geology; Mining &amp; Mineral Processing</t>
  </si>
  <si>
    <t>395UD</t>
  </si>
  <si>
    <t>WOS:000166598900002</t>
  </si>
  <si>
    <t>Uddstrom, MJ; McGregor, JA; Gray, WR; Kidson, JW</t>
  </si>
  <si>
    <t>A high-resolution analysis of cloud amount and type over complex topography</t>
  </si>
  <si>
    <t>JOURNAL OF APPLIED METEOROLOGY</t>
  </si>
  <si>
    <t>SEA-SURFACE TEMPERATURES; NEW-ZEALAND; SOUTHERN OSCILLATION; AVHRR DATA; SATELLITE; CLIMATOLOGIES; ISCCP; CLASSIFICATION; REGIONS; VARIABILITY</t>
  </si>
  <si>
    <t>This paper reports on the first application of a multispectral textural Bayesian cloud classification algorithm (SRTex'') to the general problem of the determination of high-spatial resolution cloud-amount and cloud-type climatological distributions. One year of NOAA-14 daylight passes over a region of complex topography (the South Island of New Zealand and adjacent ocean areas) is analyzed, and exploratory cloud-amount and -type climatological distributions are developed. When validated against a set of surface observations, the cloud-amount distributions have no significant bias at seasonal and yearly timescales, and explain between 70% (seasonal) and 90% (annual) of the spatial variance in the surface observations. The cloud-amount distributions show strong land/sea contrasts. Lowest cloud frequencies are found in the lee of the major alpine feature in the analysis domain (the Southern Alps) and over mountain-sheltered valleys and adjacent sea areas. Over the oceans, cloud frequencies are highest over sub-Antarctic water masses, and range from 90% to 95%. However, over the sea adjacent to the coast on the western side of the Southern Alps, there is a distinct minimum in cloud amount that appears to be related to the orography. The cloud-type climatological distributions are analyzed in terms of both simple frequency of occurrence and conditional frequency of occurrence, which is the frequency of occurrence as a fraction of the total number of times that the cloud type could have been observed. These distributions reveal the presence of preferred locations for some cloud types. There is strong evidence that uplift over major mountain ranges is a source of transmissive cirrus (enhancing occurrence by a factor of 2) and that the resulting cirrus coverage is most extensive and frequent in spring. Over the ocean areas, SST-related effects may determine the spatial distributions of stratocumulus, with higher frequencies observed over sub-Antarctic waters than over subtropical waters. Also, there is a positive correlation between mean cloud-top height and SST, but no similar relationship is found for other cloud types.</t>
  </si>
  <si>
    <t>Natl Inst Water &amp; Atmospher Res, Wellington, New Zealand</t>
  </si>
  <si>
    <t>National Institute of Water &amp; Atmospheric Research (NIWA) - New Zealand</t>
  </si>
  <si>
    <t>Uddstrom, MJ (corresponding author), Natl Inst Water &amp; Res Ltd, 301 Evans Bay Parade,Greta Point,POB 14-901, Wellington, New Zealand.</t>
  </si>
  <si>
    <t>AMER METEOROLOGICAL SOC</t>
  </si>
  <si>
    <t>BOSTON</t>
  </si>
  <si>
    <t>45 BEACON ST, BOSTON, MA 02108-3693 USA</t>
  </si>
  <si>
    <t>0894-8763</t>
  </si>
  <si>
    <t>J APPL METEOROL</t>
  </si>
  <si>
    <t>J. Appl. Meteorol.</t>
  </si>
  <si>
    <t>10.1175/1520-0450(2001)040&lt;0016:AHRAOC&gt;2.0.CO;2</t>
  </si>
  <si>
    <t>393NF</t>
  </si>
  <si>
    <t>hybrid</t>
  </si>
  <si>
    <t>WOS:000166476000002</t>
  </si>
  <si>
    <t>Parish, TR; Cassano, JJ</t>
  </si>
  <si>
    <t>Forcing of the wintertime antarctic boundary layer winds from the NCEP-NCAR global reanalysis</t>
  </si>
  <si>
    <t>ADELIE LAND; KATABATIC WINDS; EAST-ANTARCTICA; REGIME; FLOW; VARIABILITY; LATITUDES; MOUNTAINS; BALANCE</t>
  </si>
  <si>
    <t>Antarctica is noted for strong and persistent winds in the lower atmosphere. The wind directions are controlled by the underlying ice terrain and are deflected in general 20 degrees -50 degrees to the left of the fall line. The Antarctic surface wind regime is thought to be the result of the dual influences of diabatic cooling of the terrain, responsible for the infamous katabatic winds, and the synoptic pressure gradient force in the free atmosphere. The relative importance of pressure gradients associated with katabatic and synoptic processes in forcing the wintertime Antarctic boundary layer winds is evaluated using output from the National Centers for Environmental Prediction-National Center for Atmospheric Research (NCEP-NCAR) global reanalysis program for June, July, and August of 1997. Both katabatic and synoptic forces are found to be significant in shaping the near-surface winter winds over the Antarctic ice slopes. Analyses show that the synoptic force is influenced by the underlying ice terrain such that the net force over Antarctica is directed primarily downslope. This result reflects the adjustment of the large-scale ambient pressure gradient to the continental orography. The synoptic force over Antarctica thus differs significantly in both magnitude and direction from that found over the oceanic regions to the north. The adjustment of the synoptic force over the ice sheets enable even the nonwinter Antarctic winds to attain a high directional constancy and resemble a gravity-driven flow. This process also suggests that direction alone is insufficient in classifying Antarctic flows as katabatic.</t>
  </si>
  <si>
    <t>Univ Wyoming, Dept Atmospher Sci, Laramie, WY 82071 USA</t>
  </si>
  <si>
    <t>University of Wyoming</t>
  </si>
  <si>
    <t>Parish, TR (corresponding author), Univ Wyoming, Dept Atmospher Sci, Laramie, WY 82071 USA.</t>
  </si>
  <si>
    <t>Cassano, John/HKW-8817-2023</t>
  </si>
  <si>
    <t>10.1175/1520-0450(2001)040&lt;0810:FOTWAB&gt;2.0.CO;2</t>
  </si>
  <si>
    <t>420TV</t>
  </si>
  <si>
    <t>WOS:000168022100011</t>
  </si>
  <si>
    <t>Mahesh, A; Walden, VP; Warren, SG</t>
  </si>
  <si>
    <t>Ground-based infrared remote sensing of cloud properties over the Antarctic Plateau. Part I: Cloud-base heights</t>
  </si>
  <si>
    <t>RADIATIVE PROPERTIES; SOUTH-POLE; WATER-VAPOR; ATMOSPHERES; TEMPERATURE; RADIOSONDE; CLIMATE; SOUNDER; COVER; MODEL</t>
  </si>
  <si>
    <t>A Fourier-transform interferometer, operated throughout 1992 at South Pole Station, measured downward spectral longwave radiance from 550 to 1500 cm(-1) (7-18 mum) at a resolution of 1 cm(-1). Radiance measurements were usually made twice daily, coincident with routine launches of radiosondes made by the South Pole Weather Office; 223 radiance measurements (40% of the observations) were of cloudy-sky conditions. Cloud-base heights are retrieved from these data using a ground-based version of the radiance-ratioing method, which was originally developed to retrieve cloud-top heights from satellite data. Frequencies in the R branch of the 15-mum carbon dioxide band are used, exploiting the variation of atmospheric opacity with wavenumber. The annual cycle of cloud-base heights shows a bimodal distribution in all seasons except during the brief summer (December-January). Cloud-base heights are typically higher in the summer than in winter. Although retrieved cloud-base heights are uncorrelated with heights estimated by visual observers, both the retrieved and observed data indicate that base heights are bimodal. Most clouds have bases in the lowest few hundred meters, within the surface-based temperature inversion. The other mode is of higher clouds with base heights 1.5-3 km above the surface. Even the highest tropospheric clouds are within 6 km of the surface. Radiance ratioing can be used to detect polar stratospheric clouds, but their base heights are not reliably determined by the method.</t>
  </si>
  <si>
    <t>Univ Washington, Dept Atmospher Sci, Seattle, WA 98195 USA; Univ Washington, Geophys Program, Seattle, WA 98195 USA</t>
  </si>
  <si>
    <t>University of Washington; University of Washington Seattle; University of Washington; University of Washington Seattle</t>
  </si>
  <si>
    <t>Warren, SG (corresponding author), Univ Washington, Dept Atmospher Sci, Box 351640, Seattle, WA 98195 USA.</t>
  </si>
  <si>
    <t>10.1175/1520-0450(2001)040&lt;1265:GBIRSO&gt;2.0.CO;2</t>
  </si>
  <si>
    <t>450UM</t>
  </si>
  <si>
    <t>WOS:000169762800010</t>
  </si>
  <si>
    <t>Ground-based infrared remote sensing of cloud properties over the Antarctic Plateau. Part II: Cloud optical depths and particle sizes</t>
  </si>
  <si>
    <t>RADIATIVE PROPERTIES; SOUTH-POLE; SCATTERING; CLIMATE; ICE; MODEL; SNOW</t>
  </si>
  <si>
    <t>One full year of twice-daily longwave atmospheric emission spectra measured from the surface at 1-cm(-1) resolution are used to infer optical thicknesses and ice crystal sizes in tropospheric clouds over the Antarctic Plateau. The method makes use of the cloud's emissivity at 10- and 11-mum wavelength and the cloud's transmittance of stratospheric ozone emission in the 9.6-mum band. Knowledge of the cloud-base temperature and the vertical distributions of ozone and temperature is required; these are available at South Pole Station from radiosondes and ozonesondes. The difference in emissivity between 10 and 11 mum is sensitive to ice particle size because the absorption coefficient of ice varies greatly between these two wavelengths. The retrieval of optical depth (expressed as its value in the geometric-optics limit tau (g)) is limited to tau (g), &lt; 5, and the effective particle radii r(eff) are distinguished only for r(eff) &lt; 25 mum, but 80% of the clouds observed have tau (g) and r(eff) in the retrievable range. These clouds over the Antarctic interior are found to be optically thin, usually with taug &lt; 1, in contrast to coastal clouds, which usually have (g) &gt; 20. Most have r(eff) in the range of 5-25 mum, with a mode at 15 mum. The retrieved r(eff) is larger in summer than in winter, in agreement with in situ measurements. From November to April, r(eff) was usually at least 10 mum, whereas, for a 3-month period in winter (July-September), no r(eff) values greater than 25 mum were retrieved. The particle sizes retrieved from the infrared spectra are compared with dimensions of ice crystals falling to the surface and measured on photomicrographs. Effective spherical radii are computed from the photographs in three ways: equal area, equal volume, and equal volume-to- area ratio (V/A). Agreement with the r(eff) derived from radiation measurements is best for equal-V/A spheres. The optical thicknesses and base heights inferred from the emission spectra agree qualitatively with the visual reports of the weather observers, in that the optically thicker clouds are usually reported as nimbostratus and clouds with the highest retrieved bases are reported as cirrus or cirrostratus. Stratus clouds tend to be reported as low; altostratus and altocumulus are intermediate in height.</t>
  </si>
  <si>
    <t>10.1175/1520-0450(2001)040&lt;1279:GBIRSO&gt;2.0.CO;2</t>
  </si>
  <si>
    <t>WOS:000169762800011</t>
  </si>
  <si>
    <t>Bintanja, R</t>
  </si>
  <si>
    <t>Snowdrift sublimation in a katabatic wind region of the Antarctic ice sheet</t>
  </si>
  <si>
    <t>BLOWING SNOW; ATMOSPHERIC-TURBULENCE; BOUNDARY-LAYER; MASS-BALANCE; PART I; MODEL; SUSPENSION; HALLEY</t>
  </si>
  <si>
    <t>This paper presents snowdrift sublimation rates evaluated from meteorological and snowdrift data observed over Antarctic snow surfaces during austral summer. Snowdrift sublimation is found to be the major contributor to the total surface-atmosphere moisture flux in strong winds (equivalent latent heat fluxes up to 250 W m(-2)), during which surface sublimation becomes negligible because of formation of a near-surface saturated layer. Both surface and snowdrift sublimation interact strongly with the surface moisture budget of the near-surface atmospheric layer. The sum of surface and snowdrift sublimation rates compares reasonably well with the directly measured latent heat fluxes. On average, surface and snowdrift sublimation contributed about equally to the total latent heat flux of 13.1 W m(-2) at one site, whereas snowdrift sublimation was estimated to contribute two-thirds of the total sublimation at three other sites. Spatial variations in snowdrift sublimation depend on differences in wind speed, temperature, and humidity in a complex manner. For instance, the highest and windiest location, with the largest snowdrift transport rates, experienced the lowest sublimation rates because of low ambient temperatures.</t>
  </si>
  <si>
    <t>Univ Utrecht, Inst Marine &amp; Atmospher Res Utrecht, NL-3508 TA Utrecht, Netherlands</t>
  </si>
  <si>
    <t>Utrecht University</t>
  </si>
  <si>
    <t>Bintanja, R (corresponding author), Univ Utrecht, Inst Marine &amp; Atmospher Res Utrecht, POB 80005, NL-3508 TA Utrecht, Netherlands.</t>
  </si>
  <si>
    <t>Bintanja, Richard/0000-0002-0465-5923</t>
  </si>
  <si>
    <t>10.1175/1520-0450(2001)040&lt;1952:SSIAKW&gt;2.0.CO;2</t>
  </si>
  <si>
    <t>486BF</t>
  </si>
  <si>
    <t>WOS:000171798000010</t>
  </si>
  <si>
    <t>Roig-Juñent, S; Flores, G; Claver, S; Debandi, G; Marvaldi, A</t>
  </si>
  <si>
    <t>Monte Desert (Argentina):: insect biodiversity and natural areas</t>
  </si>
  <si>
    <t>JOURNAL OF ARID ENVIRONMENTS</t>
  </si>
  <si>
    <t>Monte Desert; insects; biodiversity; areas of endemism; conservation priority</t>
  </si>
  <si>
    <t>HARVESTER ANT ASSEMBLAGES; ENDEMISM</t>
  </si>
  <si>
    <t>Monte is a warm shrub desert of Argentina, having particular biogeographical interest because it lies between the Neotropical and Antarctic regions. A preliminary list of some insect families shows a high proportion of endemic genera and species, supporting the hypothesis that it constitutes a natural area with its own biodiversity. The distribution of some insect species shows great concordance with the area occupied by the Monte Desert, indicating its limits. However the complete series of records are not enough to define the boundaries exactly. The distributional patterns of several endemic species suggest that within Monte there are five natural areas: Northern, Central, Uspallata-Calingasta, Southern, and Peninsula de Valdes. The limits of the Northern and Uspallata-Calingasta areas are due to physiographical features (mountains) whereas the remaining areas are delimited by climatic barriers. An analysis based on phylogenetic information shows that these areas of endemism reflect different values with respect to their biodiversity. The Northern area has the highest values of importance and has no protected areas. (C) 2001 Academic Press.</t>
  </si>
  <si>
    <t>IADIZA, Inst Argentino Invest Zonas Aridas, RA-5500 Mendoza, Argentina</t>
  </si>
  <si>
    <t>saroig@lab.cricyt.edu.ar</t>
  </si>
  <si>
    <t>Debandi, Guillermo/HCI-2023-2022</t>
  </si>
  <si>
    <t>Debandi, Guillermo/0000-0002-9016-5145</t>
  </si>
  <si>
    <t>ACADEMIC PRESS LTD- ELSEVIER SCIENCE LTD</t>
  </si>
  <si>
    <t>24-28 OVAL RD, LONDON NW1 7DX, ENGLAND</t>
  </si>
  <si>
    <t>0140-1963</t>
  </si>
  <si>
    <t>1095-922X</t>
  </si>
  <si>
    <t>J ARID ENVIRON</t>
  </si>
  <si>
    <t>J. Arid. Environ.</t>
  </si>
  <si>
    <t>10.1006/jare.2000.0688</t>
  </si>
  <si>
    <t>Ecology; Environmental Sciences</t>
  </si>
  <si>
    <t>397FF</t>
  </si>
  <si>
    <t>WOS:000166682100005</t>
  </si>
  <si>
    <t>Smith, AJ; Grieve, MB; Clilverd, MA; Rodger, CJ</t>
  </si>
  <si>
    <t>A quantitative estimate of the ducted whistler power within the outer plasmasphere</t>
  </si>
  <si>
    <t>JOURNAL OF ATMOSPHERIC AND SOLAR-TERRESTRIAL PHYSICS</t>
  </si>
  <si>
    <t>whistler power; outer plasmasphere</t>
  </si>
  <si>
    <t>RADIATION BELT ELECTRONS; NUMERICAL-SIMULATION; VLF CHORUS; PRECIPITATION; ANTARCTICA; MAGNETOSPHERE; ABSORPTION; SIGNAL</t>
  </si>
  <si>
    <t>From a statistical study of ducted whistlers observed at Halley, Antarctica? in 1996, which had propagated on paths in the range L = 2.5-4.5, we report mean occurrence rates, numbers of components per whistler, intensities, etc. for night and day conditions and in different seasons at solar minimum. We found an average whistler rate of 5 min(-1) and 3 components per whistler. Received whistler amplitudes were measured as a function of frequency and were in the range 2-40 fT, typically 10 fT at 4 kHz. Combining these results with a propagation model, we estimate mean whistler duct output powers to be around 1-10 mW, (similar or equal to 0.1-1 mJ per whistler in the 3-5 kHz band). Inferred typical equatorial wave fields for ducted whistlers of 0.3 pT led to estimated radiation belt lifetimes for 1-100 keV electrons due to,gyroresonance with ducted whistlers of 2 x 10(6) days. This compares with published lifetimes due to plasmaspheric hiss of order 10(5) days or less, and we conclude that, on average, lightning which enters and propagates in magnetospheric ducts, although known to cause pitch angle scattering and precipitation of trapped electrons, does not significantly affect the radiation belt fluxes in a statistical sense. We have compared our results with those from a similar study by Burgess and Inan (J. Geophys. Res. 98 (1993) 15,643-15,665). In a separate investigation of multi-component whistlers received in winter at quiet times, using the same methodology, we have found that the duct output power generally decreases with increasing L. This is consistent with previous theoretical work and parallels a similar experimental conclusion with respect to higher-frequency whistler-mode signals from VLF transmitters. (C) 2000 Elsevier Science Ltd. All rights reserved.</t>
  </si>
  <si>
    <t>Smith, AJ (corresponding author), British Antarctic Survey, Madingley Rd, Cambridge CB3 0ET, England.</t>
  </si>
  <si>
    <t>Rodger, Craig/A-1501-2011</t>
  </si>
  <si>
    <t>Rodger, Craig J./0000-0002-6770-2707</t>
  </si>
  <si>
    <t>1364-6826</t>
  </si>
  <si>
    <t>J ATMOS SOL-TERR PHY</t>
  </si>
  <si>
    <t>J. Atmos. Sol.-Terr. Phys.</t>
  </si>
  <si>
    <t>10.1016/S1364-6826(00)00128-0</t>
  </si>
  <si>
    <t>394YC</t>
  </si>
  <si>
    <t>WOS:000166551100007</t>
  </si>
  <si>
    <t>Proches, S; Marshall, DJ</t>
  </si>
  <si>
    <t>Global distribution patterns of non-halacarid marine intertidal mites: implications for their origins in marine habitats</t>
  </si>
  <si>
    <t>JOURNAL OF BIOGEOGRAPHY</t>
  </si>
  <si>
    <t>Acari; Ameronothroidea; biogeography; Hydesiidae; littoral zone; marine mites; origins</t>
  </si>
  <si>
    <t>HYADESIIDAE ACARI; ASTIGMATA; AMERONOTHRIDAE; ECOPHYSIOLOGY; TERRESTRIAL; ZONATION; ISLANDS; ECOLOGY; RECORDS; FAMILY</t>
  </si>
  <si>
    <t>Aim We investigated the taxonomic, ecological and global biogeographical trends of non-halacarid marine mites with a view to understanding their origins in the marine environment. While halacarid mites are typically marine, numerous other mite taxa occupy littoral habitats, including rocky-shores, boulder beaches, salt marshes and mangrove forest floors, and occur in most geographical regions. Location This study concerns the extant taxa of non-halacarid marine mite from intertidal zones, worldwide. Methods A literature survey was undertaken to compile the records for localities and habitats of all the known species of non-halacarid intertidal mite. Simple analyses were used to determine their taxonomic and geographical trends. A multivariate analysis was used to compare how closely the biogeography of selected faunas conformed with the generally accepted marine biogeographical zones. Results Although the species records are incomplete because of variable sampling intensities among regions, there is clear indication that these marine mite faunas are species-poor (only 162 species were recorded in the literature). The records for some groups (ameronothroid and hyadesiid mites), some habitats (rocky-shores) and some world regions (Eastern Atlantic-Boreal, Sub-Antarctic and Southern New Zealand) are apparently representative of actual faunas, whereas those for the mesostigmatid and non-halacarid prostigmatid mites, and mangrove and salt marsh habitats, are clearly incomplete. The faunas comprise mites from four suborders, the Mesostigmata, Prostigmata, Oribatida and Astigmata. Structuring of the lower taxonomic levels differs markedly among the suborders; mesostigmatid and prostigmatid mites comprise low species to genus and species to family ratios, relative to oribatid and astigmatid mites. These mite groups also differ with respect to ecological and geographical attributes; ameronothroid (oribatid) and hyadesiid (astigmatid) mites exhibit wider generic geographical distributions and stronger marine trophic links. Conclusions The emerging trends suggest different geological time-scales for the evolutionary incursions into the marine environment by the mesostigmatid and prostigmatid mite group and the oribatid and astigmatid mite group. They suggest that members of the latter have had longer associations with marine intertidal systems. The origins of both groups are also likely to differ from those of the typically marine halacarid mites.</t>
  </si>
  <si>
    <t>Univ KwaZulu Natal, Sch Life &amp; Environm Sci, ZA-4000 Durban, South Africa</t>
  </si>
  <si>
    <t>University of Kwazulu Natal</t>
  </si>
  <si>
    <t>Univ KwaZulu Natal, Sch Life &amp; Environm Sci, P Bag X54001, ZA-4000 Durban, South Africa.</t>
  </si>
  <si>
    <t>marshall@pixie.udw.ac.za</t>
  </si>
  <si>
    <t>Procheş, Şerban/A-2044-2008</t>
  </si>
  <si>
    <t>Procheş, Şerban/0000-0002-3415-6930; Marshall, David/0000-0003-3771-5950</t>
  </si>
  <si>
    <t>0305-0270</t>
  </si>
  <si>
    <t>1365-2699</t>
  </si>
  <si>
    <t>J BIOGEOGR</t>
  </si>
  <si>
    <t>J. Biogeogr.</t>
  </si>
  <si>
    <t>10.1046/j.1365-2699.2001.00513.x</t>
  </si>
  <si>
    <t>Ecology; Geography, Physical</t>
  </si>
  <si>
    <t>Environmental Sciences &amp; Ecology; Physical Geography</t>
  </si>
  <si>
    <t>437FC</t>
  </si>
  <si>
    <t>WOS:000168979500004</t>
  </si>
  <si>
    <t>Connolley, WM; Harangozo, SA</t>
  </si>
  <si>
    <t>A comparison of five numerical weather prediction analysis climatologies in southern high latitudes</t>
  </si>
  <si>
    <t>JOURNAL OF CLIMATE</t>
  </si>
  <si>
    <t>TEMPORAL VARIABILITY; REANALYSIS PROJECT; HEMISPHERE; CIRCULATION</t>
  </si>
  <si>
    <t>In this paper, numerical weather prediction analyses from four major centers are compared-the Australian Bureau of Meteorology (ABM), the European Centre for Medium-Range Weather Forecasts (ECMWF), the U.S. National Centers for Environmental Prediction-National Center for Atmospheric Research (NCEP-NCAR), and The Met. Office (UKMO). Two of the series-ECMWF reanalysis (ERA) and NCEP-NCAR reanalysis (NNR)-are reanalyses; that is, the data have recently been processed through a consistent, modern analysis system. The other three-ABM, ECMWF operational (EOP), and UKMO-are archived from operational analyses. The primary focus in this paper is on the period of 1979-93, the period used for the reanalyses, and on climatology. However, ABM and NNR are also compared for the period before 1979, for which the evidence tends to favor NNR. The authors are concerned with basic variables-mean sea level pressure, height of the 500-hPa surface, and near-surface temperature-that are available from the basic analysis step, rather than more derived quantities (such as precipitation), which are available only from the forecast step. Direct comparisons against station observations, intercomparisons of the spatial pattern of the analyses, and intercomparisons of the temporal variation indicate that ERA, EOP, and UKMO are best for sea level pressure; that UKMO and EOP are best for 500-hPa height; and that none of the analyses perform well for near-surface temperature.</t>
  </si>
  <si>
    <t>Connolley, WM (corresponding author), British Antarctic Survey, High Cross,Madingley Rd, Cambridge CB3 0ET, England.</t>
  </si>
  <si>
    <t>0894-8755</t>
  </si>
  <si>
    <t>J CLIMATE</t>
  </si>
  <si>
    <t>J. Clim.</t>
  </si>
  <si>
    <t>10.1175/1520-0442(2001)014&lt;0030:ACOFNW&gt;2.0.CO;2</t>
  </si>
  <si>
    <t>393MK</t>
  </si>
  <si>
    <t>Green Submitted, Bronze, Green Accepted</t>
  </si>
  <si>
    <t>WOS:000166474100003</t>
  </si>
  <si>
    <t>Weatherly, JW; Zhang, Y</t>
  </si>
  <si>
    <t>The response of the polar regions to increased CO2 in a global climate model with elastic-viscous-plastic sea ice</t>
  </si>
  <si>
    <t>OCEAN; ATMOSPHERE; DYNAMICS; SENSITIVITY; THICKNESS; MOTION; CCM3; BUOY</t>
  </si>
  <si>
    <t>A global atmosphere-ocean-sea ice general circulation model (GCM) is used in simulations of climate with present-day atmospheric CO2 concentrations, and with CO2 increasing to double the present-day values. The Parallel Climate Model includes the National Center for Atmospheric Research (NCAR) atmospheric GCM, the Los Alamos National Laboratory ocean GCM, and the Naval Postgraduate School dynamic-thermodynamic sea ice model. The ocean and sea ice grids are at substantially higher resolution than has been previously used in global climate models. The model is implemented on distributed, parallel computer architectures to make computation on the high-resolution grids feasible. The sea ice dynamics uses an elastic-viscous-plastic ice rheology with an explicit solution of the ice stress tensor, which has not previously been used in a coupled, global climate model. The simulations of sea ice and the polar climate in the present-day experiment are compared with observed ice and climate data. The ice cover is too extensive in both hemispheres, leading to a large area of lower-than-observed surface temperatures. The Arctic exhibits a persistent high pressure system that drives the ice motion anticyclonically around the central Arctic. The ice thickness is greatest near the Chukchi Peninsula. Ice is exported through the Fram Strait, though the Canadian Archipelago, and inward through the Bering Strait. The modeled Antarctic sea ice moves at a faster speed than the observational data suggest. Many of the results and biases of the model are similar to those of the NCAR Climate System Model, which has the same atmospheric model component. The response of the model to the increase in CO2 shows a significant thinning of the Arctic sea ice by 0.5 m but only a 10% decrease in ice area. Ice concentrations are reduced within the ice pack, while the ice edges are relatively unchanged. The Antarctic sea ice exhibits much less change in area and little change in thickness, in agreement with the reduced warming in the entire Southern Hemisphere.</t>
  </si>
  <si>
    <t>USA, Cold Reg Res &amp; Engn Lab, Hanover, NH 03755 USA; USN, Postgrad Sch, Monterey, CA USA</t>
  </si>
  <si>
    <t>United States Department of Defense; United States Army; U.S. Army Corps of Engineers; U.S. Army Engineer Research &amp; Development Center (ERDC); Cold Regions Research &amp; Engineering Laboratory (CRREL); United States Department of Defense; United States Navy; Naval Postgraduate School</t>
  </si>
  <si>
    <t>Weatherly, JW (corresponding author), USA, Cold Reg Res &amp; Engn Lab, 72 Lyme Rd, Hanover, NH 03755 USA.</t>
  </si>
  <si>
    <t>10.1175/1520-0442(2001)014&lt;0268:TROTPR&gt;2.0.CO;2</t>
  </si>
  <si>
    <t>399WC</t>
  </si>
  <si>
    <t>WOS:000166836400003</t>
  </si>
  <si>
    <t>Duffy, PB; Eby, M; Weaver, AJ</t>
  </si>
  <si>
    <t>Climate model simulations of effects of increased atmospheric CO2 and loss of sea ice on ocean salinity and tracer uptake</t>
  </si>
  <si>
    <t>SOUTHERN-OCEAN; CIRCULATION; SENSITIVITY; SALT; DISTRIBUTIONS; EQUILIBRIUM</t>
  </si>
  <si>
    <t>Recent observations show a decrease in the extent of Northern Hemisphere sea ice; this decrease has been attributed to human activities. Climate model simulations are presented that examine how loss of sea ice affects the ocean salinity and density structure, and rates of uptake of an idealized transient tracer. The latter results are indicative of how loss of sea ice might affect the ocean's rate of uptake of anthropogenic carbon from the atmosphere. In simulations in which there is no freshwater forcing due to sea ice forming or melting, the salinity minimum associated with Antarctic Intermediate Water is much weaker than in simulations of the present-day ocean. This suggests that this salinity minimum is maintained in part by a steady supply of freshwater from melting of Antarctic sea ice. In addition, in simulations with no freshwater forcing due to sea ice, vertical salinity and density gradients in the Southern and Arctic Oceans are weaker than in simulations of the present-day ocean. This supports the notion that these gradients are maintained in part by freshwater forcing due to the seasonal cycle of formation and melting of sea ice. As a result, loss of sea ice due to global warming would tend to decrease the stability in parts of the ocean; this opposes the well-known tendency of global warming to increase ocean stability by warming and freshening the upper ocean. Simulations of ocean uptake of an idealized transient tracer in both constant-CO2 and increasing-CO2 environments are performed to investigate the effects of physical changes in ocean and sea ice on transient tracer uptake. In the Southern Ocean, physical changes to the ocean and sea ice are found that result in slower transient tracer accumulation in most locations. When averaged over the entire Southern Ocean, however, these reductions are small, because changes in convective activity due to increased atmospheric CO2 are relatively small, and because transient tracer uptake is relatively insensitive to changes in convective activity. These results suggest that Southern Ocean uptake of anthropogenic CO2 may decrease less than previously supposed as global warming progresses.</t>
  </si>
  <si>
    <t>Lawrence Livermore Natl Lab, Climate &amp; Carbon Cycle Modeling Grp, Livermore, CA 94550 USA; Univ Victoria, Sch Earth &amp; Ocean Sci, Victoria, BC, Canada</t>
  </si>
  <si>
    <t>United States Department of Energy (DOE); Lawrence Livermore National Laboratory; University of Victoria</t>
  </si>
  <si>
    <t>Lawrence Livermore Natl Lab, Climate &amp; Carbon Cycle Modeling Grp, POB 808,7000 East Ave,L-103, Livermore, CA 94550 USA.</t>
  </si>
  <si>
    <t>pduffy@llnl.gov</t>
  </si>
  <si>
    <t>Eby, Michael/H-5278-2013; Weaver, Andrew J/E-7590-2011</t>
  </si>
  <si>
    <t>Weaver, Andrew J/0000-0001-8919-3598</t>
  </si>
  <si>
    <t>1520-0442</t>
  </si>
  <si>
    <t>10.1175/1520-0442(2001)014&lt;0520:CMSOEO&gt;2.0.CO;2</t>
  </si>
  <si>
    <t>400DW</t>
  </si>
  <si>
    <t>WOS:000166857800004</t>
  </si>
  <si>
    <t>Van Woert, ML</t>
  </si>
  <si>
    <t>The role of conservation of mass in the satellite-derived poleward moisture transport over the Southern Ocean</t>
  </si>
  <si>
    <t>ANTARCTIC PRECIPITATION; WATER-VAPOR; WIND; ICE; FIELDS</t>
  </si>
  <si>
    <t>Poleward meridional moisture transport across the Southern Ocean during 1988 is investigated by applying conservation of mass to the wind derivation approach of Slonaker and Van Woert. The moisture field is from the Television and Infrared Observational Satellite (TIROS) Operational Vertical Sounder (TOVS) Pathfinder A dataset. The wind field is first derived from a combination of the TOVS temperature profiles and a satellite-based surface wind field using the thermal wind relationship. Then a Lagrange multiplier is introduced in a variational procedure to constrain the wind to conserve mass. The introduction of the conservation of mass reduces the estimates of the moisture flux and net precipitation dramatically in comparison with the nonmass-conserved method in Slonaker and Van Woert. For instance, the estimates of the zonally averaged, vertically integrated moisture flux across 50 degreesS are reduced by 56% and the net precipitation between the 50 degreesS and 60 degreesS latitude belt are reduced by 63%. The reason for the difference is that the nonmass-conserved approach leads to unrealistically strong annual-mean winds in the lower troposphere, which results in an exaggerated mean moisture transport. In contrast, the mass-conserved annual-mean wind compares favorably with the radiosonde observations at Macquarie Island and European Centre for Medium-Range Weather Forecasts and National Centers for Environmental Prediction-National Center for Atmospheric Research reanalyses, and it yields a mean moisture flux consistent with historical estimates. In contrast, the satellite-derived eddy moisture flux is underestimated by about 45% when compared with the radiosonde and analysis studies. This underestimation is probably due to the lower spatial and temporal resolutions of the satellite observations and lack of certain types of ageostrophic winds in the wind derivation.</t>
  </si>
  <si>
    <t>US Natl Ice Ctr, Washington, DC USA; QSS Grp Inc, Lanham, MD USA</t>
  </si>
  <si>
    <t>Van Woert, ML (corresponding author), NOAA, NESDIS, ORA, Ctr Sci, 5200 Auth Rd,Room 711, Camp Springs, MD 20746 USA.</t>
  </si>
  <si>
    <t>mvanwoert@nesdis.noaa.gov</t>
  </si>
  <si>
    <t>414NY</t>
  </si>
  <si>
    <t>WOS:000167674000001</t>
  </si>
  <si>
    <t>Dai, A</t>
  </si>
  <si>
    <t>Global precipitation and thunderstorm frequencies. Part I: Seasonal and interannual variations</t>
  </si>
  <si>
    <t>UNITED-STATES; MODEL; VARIABILITY; PATTERNS; FIELDS</t>
  </si>
  <si>
    <t>Present and past weather reports from similar to 15 000 stations around the globe and from the Comprehensive Ocean-Atmosphere Data Set from 1975 to 1997 were analyzed for the frequency of occurrence for and the percentage of the days with various types of precipitation (drizzle, nondrizzle, showery, nonshowery, and snow) and thunderstorms. In this paper, the mean geographical, seasonal, and interannual variations in the frequencies are documented. Drizzles occur most frequently (similar to5%-15% of the time) over mid- and high-latitude oceans. Nonshowery precipitation is the preferred form of precipitation over the storm-track regions at northern mid- and high latitudes in boreal winter and over the Antarctic Circumpolar Current in all seasons. Showery precipitation occurs similar to5%-20% of the time over the oceans, as compared with &lt; 10% over land areas except in boreal summer over Northern Hemisphere land areas, where showery precipitation and thunderstorms occur in over 20% of the days. Inferred mean precipitation intensity is generally &lt; 1.0 mm h(-1) at mid- and high latitudes and similar to1.5- 3.0 mm h(-1) in the Tropics. The intertropical convergence zone and the South Pacific convergence zone are clearly defined in the frequency maps but not in the intensity maps. Nonshowery precipitation at low latitudes is associated with showery precipitation, consistent with observations of stratiform precipitation accompanying mesoscale convective systems in the Tropics. The seasonal cycles of the showery precipitation and thunderstorm frequencies exhibit a coherent land-ocean pattern in that land areas peak in summer and the oceans peak in winter. The leading EOFs in the nondrizzle and nonshowery precipitation frequencies are an ENSO-related mode that confirms the ENSO- induced precipitation anomalies over the open oceans previously derived from satellite estimates.</t>
  </si>
  <si>
    <t>Natl Ctr Atmospher Res, Boulder, CO 80307 USA</t>
  </si>
  <si>
    <t>National Center Atmospheric Research (NCAR) - USA</t>
  </si>
  <si>
    <t>Dai, A (corresponding author), Natl Ctr Atmospher Res, POB 3000, Boulder, CO 80307 USA.</t>
  </si>
  <si>
    <t>adai@ucar.edu</t>
  </si>
  <si>
    <t>Dai, Aiguo/D-3487-2009; Dai, Aiguo/Y-2443-2019</t>
  </si>
  <si>
    <t>10.1175/1520-0442(2001)014&lt;1092:GPATFP&gt;2.0.CO;2</t>
  </si>
  <si>
    <t>WOS:000167674000008</t>
  </si>
  <si>
    <t>Belkin, IM</t>
  </si>
  <si>
    <t>Comments on Southern mid- to high-latitude variability, a zonal wavenumber-3 pattern, and the Antarctic circumpolar wave in the CSIRO coupled model</t>
  </si>
  <si>
    <t>Editorial Material</t>
  </si>
  <si>
    <t>FRONTS</t>
  </si>
  <si>
    <t>Univ Rhode Isl, Grad Sch Oceanog, Narragansett, RI 02882 USA</t>
  </si>
  <si>
    <t>University of Rhode Island</t>
  </si>
  <si>
    <t>Univ Rhode Isl, Grad Sch Oceanog, 215 S Ferry Rd, Narragansett, RI 02882 USA.</t>
  </si>
  <si>
    <t>ibelkin@gso.uri.edu</t>
  </si>
  <si>
    <t>Belkin, Igor/ABA-9466-2021</t>
  </si>
  <si>
    <t>45 BEACON ST, BOSTON, MA 02108-3693, UNITED STATES</t>
  </si>
  <si>
    <t>10.1175/1520-0442(2001)014&lt;1329:COSMTH&gt;2.0.CO;2</t>
  </si>
  <si>
    <t>WOS:000167674000022</t>
  </si>
  <si>
    <t>Cai, WJ; Baines, PG; Gordon, HB</t>
  </si>
  <si>
    <t>Comments on Southern mid- to high-latitude variability, a zonal wavenumber-3 pattern, and the Antarctic circumpolar wave in the CSIRO coupled model - Reply</t>
  </si>
  <si>
    <t>CSIRO Atmospher Res, Aspendale, Vic 3195, Australia</t>
  </si>
  <si>
    <t>Cai, WJ (corresponding author), CSIRO Atmospher Res, PMB 1, Aspendale, Vic 3195, Australia.</t>
  </si>
  <si>
    <t>Cai, Wenju/C-2864-2012</t>
  </si>
  <si>
    <t>Cai, Wenju/0000-0001-6520-0829</t>
  </si>
  <si>
    <t>10.1175/1520-0442(2001)014&lt;1332:R&gt;2.0.CO;2</t>
  </si>
  <si>
    <t>WOS:000167674000023</t>
  </si>
  <si>
    <t>Wong, APS; Bindoff, NL; Church, JA</t>
  </si>
  <si>
    <t>Freshwater and heat changes in the North and South Pacific Oceans between the 1960s and 1985-94</t>
  </si>
  <si>
    <t>SEA-LEVEL RISE; ATLANTIC OCEAN; INTERANNUAL VARIABILITY; DECADAL CHANGES; CLIMATE VARIABILITY; HYDROGRAPHIC DATA; SUBTROPICAL GYRE; MODE WATER; TEMPERATURE; CIRCULATION</t>
  </si>
  <si>
    <t>Comparisons of hydrographic conditions in the North and South Pacific Oceans in the 1960s and 1985-94 have been made along five World Ocean Circulation Experiment sections. Below the seasonal mixed layer, statistically significant temporal differences in salinity and temperature have been detected in the water masses that occur in the upper 2000 dbar of the water column. These water mass property differences have been used to estimate the freshwater and heat storage trends in the Pacific over the study period. Along 24 degreesN, 10 degreesN, and 17 degreesS, where either North Pacific Intermediate Water or Antarctic Intermediate Water is present, the upper waters have increased in salinity, while the intermediate and deep waters have decreased in salinity. Although the depth-integrated salinity changes observed along these sections are small, the regional redistribution of freshwater associated with the water mass changes is significant and implies significant redistribution of surface freshwater fluxes over the Pacific. Heat loss has occurred along 47 degreesN and 17 degreesS, but significant warming has occurred along 24 degrees and 10 degreesN, giving the Pacific a net heat gain of 1.79 x 10(8) J m(-2). The resulting steric sea level change for the area in the Pacific between 60 degreesN and 31.5 degreesS over the roughly 20-yr study period is estimated to be a rise of 0.85 mm yr(-1), consistent with those in existing literature, but larger than that estimated from numerical models reported in the Intergovernmental Panel on Climate Change Second Assessment Report.</t>
  </si>
  <si>
    <t>Univ Tasmania, Inst Antarctic &amp; So Ocean Studies, Hobart, Tas 7001, Australia; Antarctic Cooperat Res Ctr, Hobart, Tas, Australia; CSIRO, Div Marine Res, Hobart, Tas, Australia</t>
  </si>
  <si>
    <t>University of Tasmania; Commonwealth Scientific &amp; Industrial Research Organisation (CSIRO)</t>
  </si>
  <si>
    <t>Wong, APS (corresponding author), NOAA, Pacific Marine Environm Lab, OCRD, 7600 Sand Point Way,Bldg 3, Seattle, WA 98115 USA.</t>
  </si>
  <si>
    <t>Bindoff, Nathaniel Lee/C-8050-2011; Bindoff, Nathaniel Lee/IVV-0333-2023; Church, John A/A-1541-2012</t>
  </si>
  <si>
    <t>Bindoff, Nathaniel Lee/0000-0001-5662-9519; Bindoff, Nathaniel Lee/0000-0001-5662-9519; Church, John A/0000-0002-7037-8194</t>
  </si>
  <si>
    <t>10.1175/1520-0442(2001)014&lt;1613:FAHCIT&gt;2.0.CO;2</t>
  </si>
  <si>
    <t>418CR</t>
  </si>
  <si>
    <t>WOS:000167872600018</t>
  </si>
  <si>
    <t>Shuman, CA; Stearns, CR</t>
  </si>
  <si>
    <t>Decadal-length composite inland West Antarctic temperature records</t>
  </si>
  <si>
    <t>SSM/I BRIGHTNESS TEMPERATURES; CENTRAL GREENLAND; ICE-SHEET; VARIABILITY; PENINSULA; EXTENT; TRENDS</t>
  </si>
  <si>
    <t>Decadal-length, daily average, temperature records have been generated for four inland West Antarctic sites by combining automatic weather station (AWS) and satellite passive microwave brightness temperature records. These records are composites due to the difficulty in maintaining continuously operating AWS in Antarctica for multiyear to multidecade periods. Calibration of 37-GHz, vertical polarization, brightness temperature data during periods of known air temperature by emissivity modeling allows the resulting calibrated brightness temperatures (TC) to be inserted into data gaps with constrained errors. By the same technique, but with reduced constraints, TC data were also developed through periods before AWS unit installation or after removal. The resulting composite records indicate that temperature change is not consistent in sign or magnitude from location to location across the West Antarctic region. Linear regression analysis shows an approximate 0.9 degreesC increase over 19 yr at AWS Byrd (0.045 yr(-1) +/-0.135 degreesC), a 0.9 degreesC cooling over 12 yr at AWS Lettau (-0.078 yr-1 +/-0.178 degreesC), a 3 degreesC cooling over 10 yr at AWS Lynn (-0.305 yr(-1) +/-0.314 degreesC), and a 2 degreesC warming over 19 yr at AWS Siple (0.111 yr(-1) +/-0.079 degreesC). Only the Siple trend is statistically significant at the 95% confidence level however. The temperature increases at Siple and possibly Byrd are suggestive of a broader regional warming documented at sites on the Antarctic Peninsula. The cooling suggested by the shorter records in the vicinity of the Ross Ice Shelf is consistent with results recently reported by Comiso and suggests that significant regional differences exist. Continued data acquisition should enable detection of the magnitude and direction of potential longer-term changes.</t>
  </si>
  <si>
    <t>Univ Maryland, Earth Syst Sci Interdisciplinary Ctr, College Pk, MD 20742 USA; Univ Wisconsin, Ctr Space Sci &amp; Engn, Madison, WI 53706 USA</t>
  </si>
  <si>
    <t>University System of Maryland; University of Maryland College Park; University of Wisconsin System; University of Wisconsin Madison</t>
  </si>
  <si>
    <t>Shuman, CA (corresponding author), Univ Maryland, Earth Syst Sci Interdisciplinary Ctr, 2104 Comp &amp; Space Sci Bldg, College Pk, MD 20742 USA.</t>
  </si>
  <si>
    <t>10.1175/1520-0442(2001)014&lt;1977:DLCIWA&gt;2.0.CO;2</t>
  </si>
  <si>
    <t>424UX</t>
  </si>
  <si>
    <t>Green Published, hybrid</t>
  </si>
  <si>
    <t>WOS:000168253300005</t>
  </si>
  <si>
    <t>Kushner, PJ; Held, IM; Delworth, TL</t>
  </si>
  <si>
    <t>Southern Hemisphere atmospheric circulation response to global warming</t>
  </si>
  <si>
    <t>ZONAL FLOW VACILLATION; ANNULAR MODES; EXTRATROPICAL CIRCULATION; TRANSIENT-RESPONSE; JETS; CO2</t>
  </si>
  <si>
    <t>The response of the Southern Hemisphere (SH), extratropical, atmospheric general circulation to transient, anthropogenic, greenhouse warming is investigated in a coupled climate model. The extratropical circulation response consists of a SH summer half-year poleward shift of the westerly jet and a year-round positive wind anomaly in the stratosphere and the tropical upper troposphere. Along with the poleward shift of the jet, there is a poleward shift of several related fields, including the belt of eddy momentum-flux convergence and the mean meridional overturning in the atmosphere and in the ocean. The tropospheric wind response projects strongly onto the model's Southern Annular Mode'' (also known as the Antarctic oscillation''), which is the leading pattern of variability of the extratropical zonal winds.</t>
  </si>
  <si>
    <t>NOAA, Geophys Fluid Dynam Lab, Princeton, NJ 08542 USA</t>
  </si>
  <si>
    <t>National Oceanic Atmospheric Admin (NOAA) - USA</t>
  </si>
  <si>
    <t>NOAA, Geophys Fluid Dynam Lab, POB 308,Forrestal Campus, Princeton, NJ 08542 USA.</t>
  </si>
  <si>
    <t>pjk@noaa.gfdl.gov</t>
  </si>
  <si>
    <t>Kushner, Paul J/H-6716-2016; Delworth, Thomas/C-5191-2014</t>
  </si>
  <si>
    <t>Held, Isaac/0000-0002-6744-439X; Delworth, Thomas/0000-0003-4865-5391</t>
  </si>
  <si>
    <t>10.1175/1520-0442(2001)014&lt;0001:SHACRT&gt;2.0.CO;2</t>
  </si>
  <si>
    <t>432YT</t>
  </si>
  <si>
    <t>WOS:000168724900004</t>
  </si>
  <si>
    <t>Stone, DA; Weaver, AJ; Stouffer, RJ</t>
  </si>
  <si>
    <t>Projection of climate change onto modes of atmospheric variability</t>
  </si>
  <si>
    <t>CIRCULATION; OSCILLATION; SIGNATURE; HEIGHT; TRENDS; WINTER; CO2</t>
  </si>
  <si>
    <t>Two possible interpretations of forced climate change view it as projecting, either linearly or nonlinearly, onto the dominant modes of variability of the climate system. An evaluation of these two interpretations is performed using annual mean sea level pressure (SLP) and surface air temperature (SAT) fields obtained from integrations of the Geophysical Fluid Dynamics Laboratory coupled general circulation model forced with varying concentrations of greenhouse gases. The dominant modes of SLP both represent much of the total variability and remain important in warmer climates. With SAT, however, the dominant modes are often related to variations in the sea-ice edge and so do not remain important once the ice has retreated; those unrelated to sea ice remain dominant in the warmer climates but represent smaller fractions of the total variability. In general, climate change tends to project most strongly onto the more dominant modes. The change in SLP projects partially onto the top two modes in the Northern Hemisphere, reflecting both an overall decrease in hemispheric SLP as well as the pattern of change. In the Southern Hemisphere the change projects negligibly onto the dominant patterns between equilibrium climates but very strongly onto the Antarctic oscillation-like mode in the transient integrations. Changes in SAT project partially onto the dominant modes but relate more to the mean warming rather than the pattern of change. In general, the change projects most strongly onto the more dominant modes. In all SLP domains, the projection of climate change overwhelmingly manifests itself as a linear translation in the mode, consistent with the linear interpretation. In SAT domains related to sea-ice variability, the projection reflects an increased tendency toward ice-free regimes, consistent with the nonlinear perspective; however this nonlinear projection represents only a small portion of the overall climate change.</t>
  </si>
  <si>
    <t>Univ Victoria, Sch Earth &amp; Ocean Sci, Victoria, BC V8W 3P6, Canada; Princeton Univ, NOAA, Geophys Fluid Dynam Lab, Princeton, NJ 08544 USA</t>
  </si>
  <si>
    <t>University of Victoria; Princeton University; National Oceanic Atmospheric Admin (NOAA) - USA</t>
  </si>
  <si>
    <t>Univ Victoria, Sch Earth &amp; Ocean Sci, POB 3055, Victoria, BC V8W 3P6, Canada.</t>
  </si>
  <si>
    <t>stone@ocean.seos.uvic.ca</t>
  </si>
  <si>
    <t>Weaver, Andrew J/E-7590-2011</t>
  </si>
  <si>
    <t>10.1175/1520-0442(2001)014&lt;3551:POCCOM&gt;2.0.CO;2</t>
  </si>
  <si>
    <t>474YH</t>
  </si>
  <si>
    <t>WOS:000171134200003</t>
  </si>
  <si>
    <t>Boer, GJ; Fourest, S; Yu, B</t>
  </si>
  <si>
    <t>The signature of the annular modes in the moisture budget</t>
  </si>
  <si>
    <t>CLIMATE-CHANGE SIMULATION; GREENHOUSE-GAS; EXTRATROPICAL CIRCULATION; LIFE-CYCLES; TRENDS; OSCILLATION; VARIABILITY</t>
  </si>
  <si>
    <t>The mid- and high-latitude variations of mass and momentum, variously termed the Arctic and Antarctic oscillations and/or the Northern and Southern Annular Modes also have a signature in the moisture budget. This is investigated, using associated regression pattern analysis, in the control simulation of the Canadian Centre for Climate Modelling and Analysis (CCCma) coupled climate model and in NCEP reanalysis data. The analyzed behavior is similar in the two hemispheres and is characterized, when pressure is low in polar regions, by anomalous westerlies and a thermodynamically indirect meridional cell poleward of midlatitudes, and by anomalous easterlies and a thermodynamically direct meridional cell equatorward of midlatitudes. Moisture transports are associated primarily with advection by the lower branches of these anomalous meridional circulation cells and secondarily with anomalous eddy transports giving, in this phase of the mode, moisture divergence and decreased precipitation at midlatitudes and moisture convergence and increased precipitation at poleward latitudes. The opposite behavior is seen when pressure is high in polar regions. Patterns tend to be more zonally symmetric in the Southern than the Northern Hemisphere in both model results and reanalyses. The meridional circulations and eddy transports that affect the moisture budget at lower levels in the atmosphere extend throughout the troposphere and are those associated also with the momentum budget of the annular modes. The annular modes should be considered as interlinked variations of mass, momentum, and moisture. The amplitudes of the annular modes and associated moisture quantities exhibit an upward trend in both hemispheres in simulations with the CCCma coupled model forced with historical and projected greenhouse gas concentrations and aerosol loadings for the period 1900-2100. It appears, however, that the behavior of the annular modes and their signature in the moisture budget is basically unchanged and is superimposed on a forced climate trend.</t>
  </si>
  <si>
    <t>Univ Victoria, Meteorol Serv Canada, Canadian Ctr Climate Modelling &amp; Anal, Victoria, BC V8W 2Y2, Canada; Ecole Polytech, F-75230 Paris, France</t>
  </si>
  <si>
    <t>Environment &amp; Climate Change Canada; Meteorological Service of Canada; Canadian Centre for Climate Modelling &amp; Analysis (CCCma); University of Victoria</t>
  </si>
  <si>
    <t>Boer, GJ (corresponding author), Univ Victoria, Meteorol Serv Canada, Canadian Ctr Climate Modelling &amp; Anal, Victoria, BC V8W 2Y2, Canada.</t>
  </si>
  <si>
    <t>Yu, Bin/JAC-8514-2023; Yu, Bin/N-4021-2019; boer, george/AAB-1269-2021</t>
  </si>
  <si>
    <t>10.1175/1520-0442(2001)014&lt;3655:TSOTAM&gt;2.0.CO;2</t>
  </si>
  <si>
    <t>WOS:000171134200010</t>
  </si>
  <si>
    <t>Beckmann, A; Timmermann, R</t>
  </si>
  <si>
    <t>Circumpolar influences on the Weddell Sea: Indication of an Antarctic circumpolar coastal wave</t>
  </si>
  <si>
    <t>SOUTHERN-OCEAN; INTERANNUAL VARIABILITY; WATER FORMATION; MIXED LAYER; MODEL; ICE; CIRCULATION; TRANSPORT; POLYNYA; GYRE</t>
  </si>
  <si>
    <t>The Antarctic circumpolar wave is now a well-known feature that can be detected in atmospheric, oceanic mixed layer, and sea-ice data. In this coupled ice-ocean model driven by 40 yr of daily atmospheric forcing data, it represents a significant part of the interannual variability, linking the sea-ice and water mass formation processes in the Weddell Sea with other areas in the Antarctic water ring. In addition, these model results show a decadal-period wavelike anomaly pattern near the coast of Antarctica, propagating westward at about 2 cm s(-1). This coastally trapped, bottom-intensified phenomenon likely has important effects on the dense water formation rate in the Weddell Sea and even the occurrence of the Weddell polynya.</t>
  </si>
  <si>
    <t>Beckmann, A (corresponding author), Alfred Wegener Inst Polar &amp; Marine Res, POB 120161, D-27515 Bremerhaven, Germany.</t>
  </si>
  <si>
    <t>10.1175/1520-0442(2001)014&lt;3785:CIOTWS&gt;2.0.CO;2</t>
  </si>
  <si>
    <t>WOS:000171134200018</t>
  </si>
  <si>
    <t>Bals-Elsholz, TM; Atallah, EH; Bosart, LF; Wasula, TA; Cempa, MJ; Lupo, AR</t>
  </si>
  <si>
    <t>The wintertime Southern Hemisphere split jet: Structure, variability, and evolution</t>
  </si>
  <si>
    <t>BLOCKING EPISODE; PACIFIC; CIRCULATION; OSCILLATION; REANALYSIS; TRENDS; OCEAN; MODES</t>
  </si>
  <si>
    <t>A persistent feature of the Southern Hemisphere upper-level time-mean flow is the presence of a split jet across the South Pacific east of Australia during the austral winter. The split jet is composed of the subtropical jet (STJ) on its equatorward branch and the polar front jet (PFJ) on its poleward branch. The NCEP-NCAR reanalysis is used to investigate the structure and evolution of the split jet. Results show that the presence/absence of the PFJ determines the degree of split flow, given that the STJ is a quasi-steady feature. A split-flow index (SFI) is developed to quantify the variability of the split jet, in which negative values represent strong split flow and positive values nonsplit flow. Correlations with teleconnection indices are investigated, with the SFI positively correlated to the Southern Oscillation index and negatively correlated to the Antarctic oscillation. The SFI is used to construct composites of heights, temperature, and wind for split-flow and non-split-flow days. The composites reveal that relatively cold conditions occur in the South Pacific in association with nonsplit-flow regimes, and split-flow regimes occur when relatively warm conditions prevail. In the latter situation cold air bottled up over Antarctica helps to augment the background tropospheric thickness gradient between Antarctica and the lower latitudes with a resulting increase in the thermal wind and the PFJ. It is surmised that frequent cold surges out of Antarctica moving into the South Pacific are associated with non-split-flow regimes. In this context, the variability of the split jet responds to large-scale baroclinic processes and is further modulated by synoptic-scale disturbances.</t>
  </si>
  <si>
    <t>SUNY Albany, Dept Earth &amp; Atmospher Sci, Albany, NY 12222 USA</t>
  </si>
  <si>
    <t>State University of New York (SUNY) System; State University of New York (SUNY) Albany</t>
  </si>
  <si>
    <t>SUNY Albany, Dept Earth &amp; Atmospher Sci, 1400 Washington Ave, Albany, NY 12222 USA.</t>
  </si>
  <si>
    <t>teresa@atmos.albany.edu</t>
  </si>
  <si>
    <t>10.1175/1520-0442(2001)014&lt;4191:TWSHSJ&gt;2.0.CO;2</t>
  </si>
  <si>
    <t>482UG</t>
  </si>
  <si>
    <t>Green Published, Bronze</t>
  </si>
  <si>
    <t>WOS:000171595200005</t>
  </si>
  <si>
    <t>Reed, HL; Reedy, KR; Palinkas, LA; Van Do, N; Finney, NS; Case, HS; LeMar, HJ; Wright, J; Thomas, J</t>
  </si>
  <si>
    <t>Impairment in cognitive and exercise performance during prolonged antarctic residence: Effect of thyroxine supplementation in the polar triiodothyronine syndrome</t>
  </si>
  <si>
    <t>JOURNAL OF CLINICAL ENDOCRINOLOGY &amp; METABOLISM</t>
  </si>
  <si>
    <t>71st Annual Meeting of the American-Thyroid-Association</t>
  </si>
  <si>
    <t>SEP 16-20, 1998</t>
  </si>
  <si>
    <t>PORTLAND, OR</t>
  </si>
  <si>
    <t>EFFICIENCY; RESPONSES; PITUITARY; KINETICS; ILLNESS; TSH</t>
  </si>
  <si>
    <t>Humans who work in Antarctica display deficits in cognition, disturbances in mood, increased energy requirements, a decline of thyroid hormone products, and an increase of serum TSH. We compared measurements in 12 subjects, before deployment (baseline), with 11 monthly studies during Antarctic residence (AR). After 4 months of AR (period 1), half of the subjects (T-4 group) received L-thyroxine [64 nmol.day(-1) (0.05 mg.day(-1))]; and the other half, a placebo (placebo group) for the next 7 months of AR (period 2). During period 1, there was a 12.3 +/- 5.1% (P &lt; 0.03) decline on the matching-to-sample (M-t-S) cognitive task and an increase in depressive symptoms, compared with baseline. During the intervention in period 2, M-t-S scores for the T-4-treated group returned to baseline values; whereas the placebo group, in contrast, showed a reduced M-t-S score (11.2 +/- 1.3%; P &lt; 0.0003) and serum free T-4 (5.9 +/- 2.4%; P &lt; 0.02), compared with baseline. The change in M-t-S score was correlated with the change in free T-4 (P &lt; 0.0003) during both periods, and increases in serum TSH preceded worsening scores in depression, tension, anger, lack of vigor, and total mood disturbance (P &lt; 0.001) during period 2. Additionally, the submaximal work rate for a fixed O-2 use decreased 22.5 +/- 4.9% in period 1 and remained below baseline in period 2 (25.2 +/- 2.3%; P &lt; 0.005) for both groups. After 4 months of AR, the L-thyroxine supplement was associated with improved cognition, which seems related to circulating T-4. Submaximal exercise performance decrements, observed during AR, were not changed with this L-thyroxine dose.</t>
  </si>
  <si>
    <t>Madigan Army Med Ctr, Dept Med, Endocrine Serv, Tacoma, WA 98431 USA; Madigan Army Med Ctr, Dept Clin Invest, Tacoma, WA 98431 USA; US FDA, Rockville, MD 20857 USA; Univ Calif San Diego, Dept Family &amp; Prevent Med, La Jolla, CA 92093 USA; Western Maryland Coll, Dept Exercise Sci &amp; Phys Educ, Westminster, MD 21157 USA; Off Naval Res, Arlington, VA 22217 USA</t>
  </si>
  <si>
    <t>Madigan Army Medical Center; Madigan Army Medical Center; US Food &amp; Drug Administration (FDA); University of California System; University of California San Diego; United States Department of Defense; United States Navy</t>
  </si>
  <si>
    <t>Middlemore Hosp, Div Med, Private Bag 93311, Auckland 6, New Zealand.</t>
  </si>
  <si>
    <t>lreed@middlemore.co.nz</t>
  </si>
  <si>
    <t>Do, Nhan/0000-0001-6868-7011</t>
  </si>
  <si>
    <t>ENDOCRINE SOC</t>
  </si>
  <si>
    <t>2055 L ST NW, SUITE 600, WASHINGTON, DC 20036 USA</t>
  </si>
  <si>
    <t>0021-972X</t>
  </si>
  <si>
    <t>1945-7197</t>
  </si>
  <si>
    <t>J CLIN ENDOCR METAB</t>
  </si>
  <si>
    <t>J. Clin. Endocrinol. Metab.</t>
  </si>
  <si>
    <t>10.1210/jc.86.1.110</t>
  </si>
  <si>
    <t>Endocrinology &amp; Metabolism</t>
  </si>
  <si>
    <t>Science Citation Index Expanded (SCI-EXPANDED); Social Science Citation Index (SSCI); Conference Proceedings Citation Index - Science (CPCI-S)</t>
  </si>
  <si>
    <t>395KT</t>
  </si>
  <si>
    <t>WOS:000166580100019</t>
  </si>
  <si>
    <t>Golynsky, A; Jacobs, J</t>
  </si>
  <si>
    <t>Grenville-age versus Pan-African magnetic anomaly imprints in western Dronning Maud Land, East Antarctica</t>
  </si>
  <si>
    <t>JOURNAL OF GEOLOGY</t>
  </si>
  <si>
    <t>CRUSTAL EVOLUTION; SOUTHERN; HEIMEFRONTFJELLA; COMPLEX; KIBARAN; EVENTS</t>
  </si>
  <si>
    <t>In this article, we examine aeromagnetic data from a part of the western margin of the Pan-African East Antarctic Orogen. The East Antarctic Orogen represents the southern continuation of the East African Orogen that together formed during the collision of East and West Gondwana during late Neoproterozoic/Early Paleozoic times (at ca. 580-515 Ma). The western margin of the East Antarctic Orogen is exposed in Heimefrontfjella, western Dronning Maud Land, where the western front of this orogen crops out as the Heimefront Shear Zone. Crust west of the Heimefront Shear Zone has typical Mesoproterozoic to early Neoproterozoic (Grenville-age) K-Ar and Ar-Ar mineral cooling ages, and magnetic anomalies are broad, of high amplitude, elongate, and craton parallel with long wavelengths. East of the Heimefront Shear Zone, K-Ar and Ar-Ar mineral cooling ages range at between ca. 570 and 470 Ma, and the magnetic anomaly pattern is entirely different. Here, a large magnetic low persists, which is overprinted by small-scale anomalies that are oriented parallel to the regional Pan-African structural trends at a high angle to the Mesoproterozoic anomalies. Thus, the Pan-African tectono-thermal overprint has caused a fundamental redistribution of magnetic minerals. The data show that the combination of aeromagnetic mapping along with detailed fieldwork is a powerful method to delineate the extent of the East Antarctic Orogen in poorly exposed Antarctica.</t>
  </si>
  <si>
    <t>VNIIOkeangeol, St Petersburg, Russia; Univ Bremen, FB Geowissensch, D-28334 Bremen, Germany</t>
  </si>
  <si>
    <t>University of Bremen</t>
  </si>
  <si>
    <t>Jacobs, J (corresponding author), Univ Bremen, FB Geowissensch, PF 330 440, D-28334 Bremen, Germany.</t>
  </si>
  <si>
    <t>Golynsky, Alexander/0000-0003-2546-4082</t>
  </si>
  <si>
    <t>UNIV CHICAGO PRESS</t>
  </si>
  <si>
    <t>CHICAGO</t>
  </si>
  <si>
    <t>1427 E 60TH ST, CHICAGO, IL 60637-2954 USA</t>
  </si>
  <si>
    <t>0022-1376</t>
  </si>
  <si>
    <t>J GEOL</t>
  </si>
  <si>
    <t>J. Geol.</t>
  </si>
  <si>
    <t>10.1086/317964</t>
  </si>
  <si>
    <t>385EE</t>
  </si>
  <si>
    <t>WOS:000165989000009</t>
  </si>
  <si>
    <t>Frank-Kamenetsky, AV; Troshichev, OA; Burns, GB; Papitashvili, VO</t>
  </si>
  <si>
    <t>Variations of the atmospheric electric field in the near-pole region related to the interplanetary magnetic field</t>
  </si>
  <si>
    <t>JOURNAL OF GEOPHYSICAL RESEARCH-SPACE PHYSICS</t>
  </si>
  <si>
    <t>AIR-EARTH CURRENT; POTENTIAL GRADIENT; GEOELECTRIC FIELD; SOLAR-ACTIVITY; SOUTH-POLE; COMPONENT; CAP; NORTHERN; WEATHER; SECTOR</t>
  </si>
  <si>
    <t>Variations in the atmospheric, near-surface vertical electric field component E (z) measured at the Russian Antarctic station Vostok in 1998 are analyzed in conjunction with changes of the interplanetary magnetic field (IMF). A total of 134 days were selected which satisfied the fair weather conditions, that is, days with absence of high winds, falling or drifting snow, clouds, and electric field pollution from the station's power plant. It is shown that the average diurnal variation of E (z) for these days follows the global geoelectric field fair - weather diurnal variation: the Carnegie curve, which describes the global electric circuit formed by the thunderstorm activity occurring mostly over equatorial regions. The E-z diurnal variation shows strong seasonal dependence: it is maximal (similar to 40% of the average daily magnitude) in summer but gradually reduces through the equinoctial months and is almost negligible during the austral winter. E (z) at Vostok is strongly affected by variations in both the IMF B-y and B-z components. The influence of B-y is dominant during geomagnetic daytime hours (1 100-1400 UT at Vostok): E (z) increases with B-y in the range from -10 to +10 nT. The IMF B-z effect is mainly seen at dawn (E (z) decreases with B-z) and dusk (E (z) increases with B-z).</t>
  </si>
  <si>
    <t>Arctic &amp; Antarctic Res Inst, St Petersburg 199397, Russia; Australian Antarctic Div, Kingston, Tas 7050, Australia; Univ Michigan, Space Phys Res Lab, Ann Arbor, MI 48109 USA; Danish Inst Fundamental Metrol, Copenhagen, Denmark</t>
  </si>
  <si>
    <t>Arctic &amp; Antarctic Research Institute; Australian Antarctic Division; University of Michigan System; University of Michigan; Danish Fundamental Metrology</t>
  </si>
  <si>
    <t>Frank-Kamenetsky, AV (corresponding author), Arctic &amp; Antarctic Res Inst, 38 Bering St, St Petersburg 199397, Russia.</t>
  </si>
  <si>
    <t>al_frank@aari.nw.ru; olegtro@aari.nw.ru; gary_bur@antdiv.gov.au; papita@umich.edu</t>
  </si>
  <si>
    <t>2169-9380</t>
  </si>
  <si>
    <t>2169-9402</t>
  </si>
  <si>
    <t>J GEOPHYS RES-SPACE</t>
  </si>
  <si>
    <t>J. Geophys. Res-Space Phys.</t>
  </si>
  <si>
    <t>A1</t>
  </si>
  <si>
    <t>10.1029/2000JA900058</t>
  </si>
  <si>
    <t>391WQ</t>
  </si>
  <si>
    <t>WOS:000166379600015</t>
  </si>
  <si>
    <t>Chisham, G; Pinnock, M; Rodger, AS</t>
  </si>
  <si>
    <t>The response of the HF radar spectral width boundary to a switch in the IMF By direction:: Ionospheric consequences of transient dayside reconnection?</t>
  </si>
  <si>
    <t>INTERPLANETARY MAGNETIC-FIELD; SMALL-SCALE IRREGULARITIES; HIGH-LATITUDE CONVECTION; NORTH-SOUTH COMPONENT; FLUX-TRANSFER EVENTS; F-REGION; PARTICLE-PRECIPITATION; MAGNETOSPHERIC EROSION; CONJUGATE OBSERVATIONS; PLASMA CONVECTION</t>
  </si>
  <si>
    <t>In the high-latitude dayside ionasphere, the movement of the HF radar spectral width boundary (SWB) provides a good proxy for the movement of the open-closed field line boundary around magnetic local noon. By studying the dynamics of the spectral width boundary we carl investigate features of the dayside ionospheric response to changes In the interplanetary magnetic field (IMF). The high temporal and spatial resolution of the Super Dual Auroral Radar Network (SuperDARN) HF radars make them good tools to study these features. In this paper, we use the Halley HF radar in Antarctica to study the equatorward motion of the SWB which appears to occur in response to a large change in the direction of IMF B-y. The spectral width boundary initially moves equatorward in the from of a U-shaped bulge close to magnetic local noon. This bulge then expands longitudinally to earlier and later magnetic local times. Merged velocity vectors from two Antarctic HF radars describe the flow velocity variation in the boundary region. The flow equatorward of the boundary follows the contours of the boundary as it expands. The flow poleward of the boundary is directed at more oblique angles to the boundary. This study represents the first clear two-dimensional observation of the formation of an equatorward bulge on the polar cap boundary which may be associated with changes in dayside reconnection and presents a unique observation of the variation of the ionospheric flow in the locality of the boundary; We discuss the possible interpretations of this event and its consequences to our present understanding of the ionospheric response to changes in the IMF.</t>
  </si>
  <si>
    <t>Chisham, G (corresponding author), British Antarctic Survey, NERC, Madingley Rd, Cambridge CB3 0ET, England.</t>
  </si>
  <si>
    <t>G.Chisham@bas.ac.uk; M.Pinnock@bas.ac.uk; A.S.Rodger@bas.ac.uk</t>
  </si>
  <si>
    <t>10.1029/2000JA900094</t>
  </si>
  <si>
    <t>WOS:000166379600016</t>
  </si>
  <si>
    <t>King, JC; Anderson, PS; Mann, GW</t>
  </si>
  <si>
    <t>The seasonal cycle of sublimation at Halley, Antarctica</t>
  </si>
  <si>
    <t>JOURNAL OF GLACIOLOGY</t>
  </si>
  <si>
    <t>SCALAR TRANSFER-COEFFICIENTS; SURFACE-ENERGY; MASS-BALANCE; ICE SHELF; SNOW; ROUGHNESS; CLIMATOLOGY; HUMIDITY; MODEL; SEA</t>
  </si>
  <si>
    <t>We have used micrometeorological data collected at Halley Research Station, Antarctica, to estimate monthly totals of snow sublimation. Direct sublimation from the snow surface is calculated using bulk-transfer formulae, while the sublimation of blowing snow is estimated using a model for suspended-particle number density and individual particle sublimation rates. During the winter months, sublimation losses are negligible, but between November and March sublimation removes around 25% of the snowfall. Surface sublimation and sublimation of blowing snow make roughly equal contributions to this total. Estimates of sublimation using micrometeorological data agree well with estimates made from daily snow-stake measurements.</t>
  </si>
  <si>
    <t>British Antarctic Survey, NERC, Cambridge CB3 0ET, England; Univ Leeds, Sch Environm, Leeds LS2 9JT, W Yorkshire, England</t>
  </si>
  <si>
    <t>UK Research &amp; Innovation (UKRI); Natural Environment Research Council (NERC); NERC British Antarctic Survey; University of Leeds</t>
  </si>
  <si>
    <t>King, JC (corresponding author), British Antarctic Survey, NERC, Madingley Rd,High Cross, Cambridge CB3 0ET, England.</t>
  </si>
  <si>
    <t>Mann, Graham/L-9529-2017</t>
  </si>
  <si>
    <t>Mann, Graham/0000-0003-1746-2837</t>
  </si>
  <si>
    <t>INT GLACIOL SOC</t>
  </si>
  <si>
    <t>LENSFIELD RD, CAMBRIDGE CB2 1ER, ENGLAND</t>
  </si>
  <si>
    <t>0022-1430</t>
  </si>
  <si>
    <t>J GLACIOL</t>
  </si>
  <si>
    <t>J. Glaciol.</t>
  </si>
  <si>
    <t>10.3189/172756501781832548</t>
  </si>
  <si>
    <t>466WM</t>
  </si>
  <si>
    <t>WOS:000170669200001</t>
  </si>
  <si>
    <t>Bintanja, R; Reijmer, CH</t>
  </si>
  <si>
    <t>Meteorological conditions over Antarctic blue-ice areas and their influence on the local surface mass balance</t>
  </si>
  <si>
    <t>ENERGY BALANCE; MAUD-LAND; SNOW; CIRCULATION; SUBLIMATION; SUMMER</t>
  </si>
  <si>
    <t>This paper addresses the causes of the prevailing meteorological conditions observed over an Antarctic blue-ice area and their effect on the surface mass balance. Over blue-ice areas, net accumulation is zero and ablation occurs mainly through sublimation. Sublimation rates are much higher than over adjacent snowfields. The meteorological conditions favourable for high sublimation rates (warm, dry and gusty) are due to the specific orographic setting of this blue-ice area, with usually a steep upwind mountainous slope causing strong adiabatic heating. Diabatic warming due to radiation, and entrainment of warm air from aloft into the boundary layer augment the warming. The prevailing warm, dry conditions explain roughly 50% of the difference in sublimation, and the different characteristics of blue ice (mainly its lower albedo) the other 50%. Most of the annual sublimation (similar to 70%) takes place during the short summer (mainly in daytime), with winter ablation being restricted to occasional warm, dry fohn-like events. The additional moisture is effectively removed by entrainment and horizontal advection, which are maximum over the blue-ice area. Low-frequency turbulent motions induced by the upwind mountains enhance the vertical turbulent transports. Strong gusts and high peak wind speeds over blue-ice areas cause high potential snowdrift transports, which can easily remove the total precipitation, thereby maintaining zero accumulation.</t>
  </si>
  <si>
    <t>Univ Utrecht, Inst Marine &amp; Atmospher Res, NL-3508 TA Utrecht, Netherlands</t>
  </si>
  <si>
    <t>Univ Utrecht, Inst Marine &amp; Atmospher Res, NL-3508 TA Utrecht, Netherlands.</t>
  </si>
  <si>
    <t>Reijmer, Carleen H/G-8736-2011</t>
  </si>
  <si>
    <t>Reijmer, Carleen H/0000-0001-8299-3883; Bintanja, Richard/0000-0002-0465-5923</t>
  </si>
  <si>
    <t>EDINBURGH BLDG, SHAFTESBURY RD, CB2 8RU CAMBRIDGE, ENGLAND</t>
  </si>
  <si>
    <t>1727-5652</t>
  </si>
  <si>
    <t>10.3189/172756501781832557</t>
  </si>
  <si>
    <t>WOS:000170669200005</t>
  </si>
  <si>
    <t>Corr, HFJ; Doake, CSM; Jenkins, A; Vaughan, DG</t>
  </si>
  <si>
    <t>Investigations of an ice plain in the mouth of Pine Island Glacier, Antarctica</t>
  </si>
  <si>
    <t>STREAM-B; DYNAMICS; SHELF; SHEET; RISE</t>
  </si>
  <si>
    <t>We present newly acquired airborne radar data showing ice thickness and surface elevation for Pine Island Glacier, Antarctica. These data, when combined with earlier measurements, suggest the presence of a lightly grounded area immediately above the grounding line of Pine Island Glacier. We identify this region as an ice plains It lies close to the centre line of the glacier, has an elevation above buoyancy of &lt; 50 m and extends inland for &gt; 28 km. The upstream edge of the ice plain is defined by a coupling line. The configuration of the ice plain implies that nearby thinning of the ice stream would result in substantial grounding-line retreat. We suggest that the grounding-line retreat of Pine Island Glacier, observed between 1992 and 1996, probably commenced sometime after 1981.</t>
  </si>
  <si>
    <t>British Antarctic Survey, NERC, Madingley Rd, Cambridge CB3 0ET, England.</t>
  </si>
  <si>
    <t>Jenkins, Adrian/IUN-2406-2023; Corr, Hugh/C-5398-2011; Vaughan, David/C-8348-2011</t>
  </si>
  <si>
    <t>Jenkins, Adrian/0000-0002-9117-0616; Vaughan, David/0000-0002-9065-0570</t>
  </si>
  <si>
    <t>Natural Environment Research Council [bas010002] Funding Source: researchfish; NERC [bas010002] Funding Source: UKRI</t>
  </si>
  <si>
    <t>10.3189/172756501781832395</t>
  </si>
  <si>
    <t>WOS:000170669200006</t>
  </si>
  <si>
    <t>Siegert, MJ</t>
  </si>
  <si>
    <t>Comments on Calculating basal thermal zones beneath the Antarctic ice sheet by Wilch and Hughes</t>
  </si>
  <si>
    <t>Letter</t>
  </si>
  <si>
    <t>Univ Bristol, Sch Geog Sci, Bristol Glac Ctr, Bristol BS8 1SS, Avon, England</t>
  </si>
  <si>
    <t>University of Bristol</t>
  </si>
  <si>
    <t>Univ Bristol, Sch Geog Sci, Bristol Glac Ctr, Bristol BS8 1SS, Avon, England.</t>
  </si>
  <si>
    <t>Siegert, Martin J/A-3826-2008; Siegert, Martin/M-9939-2019</t>
  </si>
  <si>
    <t>Siegert, Martin J/0000-0002-0090-4806; Siegert, Martin/0000-0002-0090-4806</t>
  </si>
  <si>
    <t>10.3189/172756501781832430</t>
  </si>
  <si>
    <t>WOS:000170669200020</t>
  </si>
  <si>
    <t>Xiao, C; Ren, JW; Qin, DH; Li, ZQ; Sun, WZ; Allison, I</t>
  </si>
  <si>
    <t>Complexity of the climatic regime over the Lambert Glacier basin of the East Antarctic ice sheet: firn-core evidences</t>
  </si>
  <si>
    <t>DRONNING-MAUD-LAND; SNOW-ACCUMULATION; TEMPERATURE</t>
  </si>
  <si>
    <t>Chinese Acad Sci, Lab Ice Core &amp; Cold Reg Environm Res Inst, Lanzhou 730000, Gansu, Peoples R China; Anratctic CRC &amp; Australia Antatctic Div, Hobart, Tas 7001, Australia</t>
  </si>
  <si>
    <t>Chinese Academy of Sciences; Australian Antarctic Division</t>
  </si>
  <si>
    <t>Chinese Acad Sci, Lab Ice Core &amp; Cold Reg Environm Res Inst, Lanzhou 730000, Gansu, Peoples R China.</t>
  </si>
  <si>
    <t>Allison, Ian F/I-4477-2015</t>
  </si>
  <si>
    <t>Allison, Ian F/0000-0001-9599-0251</t>
  </si>
  <si>
    <t>WOS:000170669200021</t>
  </si>
  <si>
    <t>Siegert, MJ; Fujita, S</t>
  </si>
  <si>
    <t>Internal ice-sheet radar layer profiles and their relation to reflection mechanisms between Dome C and the Transantarctic Mountains</t>
  </si>
  <si>
    <t>ANTARCTICA; VOSTOK</t>
  </si>
  <si>
    <t>Causes of ice-sheet layering at ice depths greater than about 900 in in a transect between Dome C and the Transantarctic Mountains are examined using 60 MHz radar data, collected in the 1970s by the U.K.-U.S.-Danish collaboration. Normally, a dual-frequency technique is required for accurate determination of internal reflection mechanisms, However, by extracting the depth-related features of 60 MHz radar profiles and comparing them with the dual-frequency data collected by the Japanese Antarctic Research Expedition, we have identified a simple method to estimate internal reflection mechanisms. Two zones can be distinguished: (1) the C-A zone, where change in electrical conductivity due to variation in acidity is the major cause of internal reflection, and (2) the P-COF zone, where change in dielectric permittivity due to crystal-orientation fabrics is the major cause of internal reflections. Our analysis shows that the radar data reveal the development of P-COF zones in regions where large amounts of ice shearing are expected. This analysis shows how a similar interpretation of the full radar-data archive may reveal information on internal reflection mechanisms across a large part of the East Antarctic ice sheet.</t>
  </si>
  <si>
    <t>Univ Bristol, Sch Geog Sci, Bristol Glaciol Ctr, Bristol BS8 1SS, Avon, England; Hokkaido Univ, Fac Engn, Dept Appl Phys, Sapporo, Hokkaido 0608628, Japan</t>
  </si>
  <si>
    <t>University of Bristol; Hokkaido University</t>
  </si>
  <si>
    <t>Siegert, MJ (corresponding author), Univ Bristol, Sch Geog Sci, Bristol Glaciol Ctr, Bristol BS8 1SS, Avon, England.</t>
  </si>
  <si>
    <t>Siegert, Martin J/A-3826-2008; Siegert, Martin/M-9939-2019; Fujita, Shuji/A-7884-2016</t>
  </si>
  <si>
    <t>Siegert, Martin J/0000-0002-0090-4806; Siegert, Martin/0000-0002-0090-4806; Fujita, Shuji/0000-0003-0127-0777</t>
  </si>
  <si>
    <t>10.3189/172756501781832205</t>
  </si>
  <si>
    <t>503DU</t>
  </si>
  <si>
    <t>WOS:000172783800005</t>
  </si>
  <si>
    <t>Le Nieur, E; Hindmarsh, RCA</t>
  </si>
  <si>
    <t>Coupled marine-ice-sheet/Earth dynamics using a dynamically consistent ice-sheet model and a self-gravitating viscous Earth model</t>
  </si>
  <si>
    <t>SEA-LEVEL RISE; STREAM-B; TRANSITION; RETREAT; DEFORMATION; ANTARCTICA; PATTERNS; SHELF; FLOW</t>
  </si>
  <si>
    <t>We use a self-gravitating viscoelastic model of the Earth arid a dynamically consistent marine icc-sheet model to study the relationships between marine ice-sheet dynamics, relative sea level, basal topography and bedrock dynamics. Our main conclusion is that sea-level change arid lithospheric coupling are likely to have played limited roles in the postglacial retreat of marine ice sheets. The postglacial rise in sea level would only have caused at the most around 100 kill of grounding-line retreat for all ice sheet of similar dimensions to the West Antarctic ice sheet, compared with the several hundred km of retreat which has occurred in the Ross Sea. There is no evidence that reverse slopes lead to instability. Incorporating coupling with lithospheric dynamics does not produce markedly different effects. The implication of these studies is that marine ice-sheet retreat is the result of physical mechanisms other than lithospheric coupling and sea-level rise.</t>
  </si>
  <si>
    <t>Hindmarsh, Richard/N-1195-2019</t>
  </si>
  <si>
    <t>Hindmarsh, Richard/0000-0003-1633-2416</t>
  </si>
  <si>
    <t>WOS:000172783800011</t>
  </si>
  <si>
    <t>Hindmarsh, RCA; Le Meur, E</t>
  </si>
  <si>
    <t>Dynamical processes involved in the retreat of marine ice sheets</t>
  </si>
  <si>
    <t>GLACIERS; FLOW; BENEATH; CREEP; MODEL; SEA</t>
  </si>
  <si>
    <t>Marine ice sheets with mechanics described by the shallow-ice approximation by definition do not couple mechanically with the shelf. Such ice sheets are known to have neutral equilibria. We consider the implications of this for their dynamics and in particular for mechanisms which promote marine ice-sheet retreat. The removal of ice-shelf buttressing leading to enhanced flow in grounded ice is discounted as a significant influence on mechanical grounds. Sea-level rise leading to reduced effective pressures under ice streams is shown to be a feasible mechanism for producing postglacial West Antarctic ice-sheet retreat but is inconsistent with borehole evidence. Warming thins the ice sheet by reducing the average viscosity but does not lead to grounding-line retreat. Internal oscillations either specified or generated via a MacAyeal-Payne thermal mechanism promote migration. This is a noise-induced drift phenomenon stemming from the neutral equilibrium property of marine ice sheets. This migration occurs at quite slow rates, but these are sufficiently large to have possibly played a role in the dynamics of the West Antarctic ice sheet after the glacial maximum. Numerical experiments suggest that it is generally true that while significant changes in thickness can be caused by spatially uniform changes, spatial variability coupled with dynamical variability is needed to cause margin movement.</t>
  </si>
  <si>
    <t>NERC [bas010002, NE/J008087/1] Funding Source: UKRI; Natural Environment Research Council [bas010002] Funding Source: researchfish</t>
  </si>
  <si>
    <t>NERC(UK Research &amp; Innovation (UKRI)Natural Environment Research Council (NERC)); Natural Environment Research Council(UK Research &amp; Innovation (UKRI)Natural Environment Research Council (NERC))</t>
  </si>
  <si>
    <t>10.3189/172756501781832269</t>
  </si>
  <si>
    <t>WOS:000172783800012</t>
  </si>
  <si>
    <t>Glasser, NF; Hambrey, MJ</t>
  </si>
  <si>
    <t>Tidewater glacier beds: insights from iceberg debris in Kongsfjorden, Svalbard</t>
  </si>
  <si>
    <t>ANTARCTIC ICE STREAM; TILL DEFORMATION; SEDIMENTARY PROCESSES; MARINE SEDIMENTATION; SUBGLACIAL GEOLOGY; WEST ANTARCTICA; RING-SHEAR; BENEATH; SPITSBERGEN; BEHAVIOR</t>
  </si>
  <si>
    <t>The sediment in icebergs offers an opportunity to sample the otherwise inaccessible beds of modern tidewater glaciers. This paper presents a discussion of the benefits and problems of using iceberg debris to make inferences about the nature of the beds of modern tidewater glaciers. As an example, we present data obtained from icebergs calved from fast-flowing tidewater glaciers in Kongsfjorden, Svalbard. Sediment samples obtained from 12 icebergs show that clast-rich muddy diamicton is the dominant facies, although muddy gravel and mud are also present in some debris layers. Sediment texture and clast-shape. analyses indicate that most debris in the icebergs is of basal origin. Micromorphological analyses of thin sections of the diamicton also indicate pervasive deformation of the sediment. Although individual icebergs only represent small samples of the bed of a tidewater glacier, and problems remain in linking iceberg sediments to their precalving transport history beneath the glacier, this method provides a potentially fruitful way of linking sediments to glacier dynamics.</t>
  </si>
  <si>
    <t>Univ Wales, Ctr Glaciol, Inst Geog &amp; Earth Sci, Aberystwyth SY23 3DB, Ceredigion, Wales</t>
  </si>
  <si>
    <t>Aberystwyth University</t>
  </si>
  <si>
    <t>Glasser, NF (corresponding author), Univ Wales, Ctr Glaciol, Inst Geog &amp; Earth Sci, Aberystwyth SY23 3DB, Ceredigion, Wales.</t>
  </si>
  <si>
    <t>Glasser, Neil F/C-1971-2012</t>
  </si>
  <si>
    <t>Glasser, Neil/0000-0002-8245-2670</t>
  </si>
  <si>
    <t>10.3189/172756501781832331</t>
  </si>
  <si>
    <t>WOS:000172783800014</t>
  </si>
  <si>
    <t>Winther, JG; Jespersen, MN; Liston, GE</t>
  </si>
  <si>
    <t>Blue-ice areas in Antarctica derived from NOAA AVHRR satellite data</t>
  </si>
  <si>
    <t>SNOW; REFLECTANCE; BALANCE; BASIN</t>
  </si>
  <si>
    <t>We have mapped Antarctic blue-ice areas using the U.S. National Oceanic and Atmospheric Administration (NOAA) Advanced Very High Resolution Radiometer (AVHRR) Antarctica cloud-free image mosaic established by the United States Geological Survey. The mosaic consists of 38 scenes acquired from 1980 to 1994. Our results show that approximately 60000 km(2) of blue ice exist for each of the two main types of blue ice: melt-induced and wind-induced. Normally, the former type is located on slopes in coastal areas where climate conditions (i.e. persistent winds and temperature), together with favourable surface orientation, sustain conditions for surface and nearsurface melt. The latter blue-ice category occurs near mountains or on outlet glaciers, often at higher elevations, where persistent winds erode snow away year-round, and combined with sublimation creates areas of net ablation. Furthermore, we have identified an additional area of 121000 km(2) as having potential for blue ice. However, in these areas features such as mixed pixels, glazed snow surfaces, crevasses and/or shadows make interpretation more uncertain. In conclusion, a conservative estimate of Antarctic blue-ice area coverage by this method is found to be 120000 km(2) (similar to0.8% of the Antarctic continent), with a potential maximum of 241000 km(2) (similar to1.6% of the Antarctic continent).</t>
  </si>
  <si>
    <t>Tech Univ Denmark, DK-2800 Lyngby, Denmark; Norwegian Polar Res Inst, Polar Environm Ctr, N-9296 Tromso, Norway; Colorado State Univ, Dept Atmospher Sci, Ft Collins, CO 80523 USA</t>
  </si>
  <si>
    <t>Technical University of Denmark; Norwegian Polar Institute; Colorado State University</t>
  </si>
  <si>
    <t>Norwegian Polar Res Inst, Polar Environm Ctr, N-9296 Tromso, Norway.</t>
  </si>
  <si>
    <t>10.3189/172756501781832386</t>
  </si>
  <si>
    <t>WOS:000172783800017</t>
  </si>
  <si>
    <t>Isaksson, E; Pohjola, V; Jauhiainen, T; Moore, J; Pinglot, JM; Vaikmäe, R; van de Wal, RSW; Hagen, JO; Ivask, J; Karlöf, L; Martma, T; Meijer, HAJ; Mulvaney, R; Thomassen, M; van den Broeke, M</t>
  </si>
  <si>
    <t>A new ice-core record from Lomonosovfonna, Svalbard:: viewing the 1920-97 data in relation to present climate and environmental conditions</t>
  </si>
  <si>
    <t>MARINE BOUNDARY-LAYER; BIOGENIC SULFUR; SNOW; SPITSBERGEN; GLACIERS; SULFATE; AEROSOL; RADIOACTIVITY; CONTAMINATION; ACCUMULATION</t>
  </si>
  <si>
    <t>In 1997 a 121 m ice core was retrieved from Lomonosovfonna, the highest ice field in Spitsbergen, Svalbard (1250 m a.s.l.). Radar measurements indicate an ice depth of 126.5 m, and borehole temperature measurements show that the ice is below the melting point, High-resolution sampling of major ions, oxygen isotopes and deuterium has been performed on the core, and the results from the uppermost 36 rn suggest that quasi-annual signals are preserved. The 1963 radioactive layer is situated at 18.5-18.95 m, giving a mean annual accumulation of 0.36 m we. for the period 1963-96. The upper 36 rn of the ice core was dated back to 1920 by counting layers provided by the seasonal variations of the ions in addition to using a constant accumulation rate, with thinning by pure shear according to Nye (1963). The stratigraphy does not seem to have been obliterated by meltwater percolation, in contrast to most previous core sites on Svalbard. The anthropogenic influence on the Svalbard environment is illustrated by increased levels of sulphate, nitrate and acidity. Both nitrate and sulphate levels started to increase in the late 1940s, remained high until the late 1980s and have decreased during the last 15 years. The records of delta O-18, MSA (methanesulphonic acid), and melt features along the core agree with the temperature record from Longycarbyen and the sea-ice record from the Barents Sea at a multi-year resolution, suggesting that this ice core reflects local climatic conditions.</t>
  </si>
  <si>
    <t>Norwegian Polar Res Inst, Polar Environm Ctr, N-9296 Tromso, Norway; Uppsala Univ, Dept Earth Sci, S-75236 Uppsala, Sweden; Univ Lapland, Arctic Ctr, Rovaniemi 96101, Finland; CNRS, Lab Glaciol &amp; Geophys Environm, F-38402 St Martin Dheres, France; Tallinn Univ Technol, Inst Geol, EE-10143 Tallinn, Estonia; Univ Utrecht, Inst Marine &amp; Atmospher Res, NL-3508 TA Utrecht, Netherlands; Univ Oslo, Dept Phys Geog, N-0316 Oslo, Norway; Univ Groningen, Ctr Isotope Res, NL-9747 AG Groningen, Netherlands; British Antarctic Survey, NERC, Cambridge CB3 0ET, England</t>
  </si>
  <si>
    <t>Norwegian Polar Institute; Uppsala University; University of Lapland; Centre National de la Recherche Scientifique (CNRS); Tallinn University of Technology; Utrecht University; University of Oslo; University of Groningen; UK Research &amp; Innovation (UKRI); Natural Environment Research Council (NERC); NERC British Antarctic Survey</t>
  </si>
  <si>
    <t>Moore, John C/B-2868-2013; Vaikmäe, Rein/H-2691-2019; Vaikmae, Rein/A-8509-2012; van de wal, roderik/D-1705-2011; Van den Broeke, Michiel R./F-7867-2011; Meijer, Harro A J/A-5787-2012; Ivask, Juri/B-7953-2019; Mulvaney, Robert/K-3929-2012; Martma, Tonu/B-7386-2019</t>
  </si>
  <si>
    <t>Moore, John C/0000-0001-8271-5787; Vaikmäe, Rein/0000-0002-9837-163X; van de wal, roderik/0000-0003-2543-3892; Van den Broeke, Michiel R./0000-0003-4662-7565; pohjola, veijo/0000-0001-6851-1673; Ivask, Juri/0000-0001-8542-4280; Mulvaney, Robert/0000-0002-5372-8148; Meijer, Harro A.J./0000-0001-8744-5632; Martma, Tonu/0000-0001-5894-7692</t>
  </si>
  <si>
    <t>NERC [bas010001] Funding Source: UKRI; Natural Environment Research Council [bas010001] Funding Source: researchfish</t>
  </si>
  <si>
    <t>10.3189/172756501781832313</t>
  </si>
  <si>
    <t>WOS:000172783800018</t>
  </si>
  <si>
    <t>Khazendar, A; Tison, JL; Stenni, B; Dini, M; Bondesan, A</t>
  </si>
  <si>
    <t>Significant marine-ice accumulation in the ablation zone beneath an Antarctic ice shelf</t>
  </si>
  <si>
    <t>SAR INTERFEROMETRY; GREEN ICEBERGS; BASAL ICE; RONNE; BOTTOM; CIRCULATION; DYNAMICS; ORIGIN; FRONT</t>
  </si>
  <si>
    <t>High-resolution crystallographic, salinity and isotopic analyses of a 45 in ice core reveal the presence of a thick layer of marine ice near the grounding line of the Nansen Ice Shelf, Antarctica. The anomalous formation of marine ice in a zone assumed to be the site of active basal melting leads us to propose the hypothesis of large basal crevasses as a favorable environment for important marine-ice accretion. This hitherto unexplored possibility is supported by the overall field configuration and by the discrepancy in some ice properties between this core and the marine-ice sections of previous drilling projects. These Findings could have important implications for the general stability of ice shelves and their disintegration processes. The specific properties of this core reveal that marine ice is post-genetically deformed.</t>
  </si>
  <si>
    <t>Univ Trieste, Lab Geochim Isotop, I-34127 Trieste, Italy; Univ Padua, Dipartimento Geog, I-35127 Padua, Italy</t>
  </si>
  <si>
    <t>University of Trieste; University of Padua</t>
  </si>
  <si>
    <t>Khazendar, A (corresponding author), Free Univ Brussels, Fac Sci, Dept Sci Terre &amp; Environm, CP 160-03, B-1050 Brussels, Belgium.</t>
  </si>
  <si>
    <t>Bondesan, Aldino/AGG-7434-2022; Tison, Jean-Louis/F-4065-2015</t>
  </si>
  <si>
    <t>Bondesan, Aldino/0000-0002-8721-652X; Stenni, Barbara/0000-0003-4950-3664; Tison, Jean-Louis/0000-0002-9758-3454</t>
  </si>
  <si>
    <t>10.3189/172756501781832160</t>
  </si>
  <si>
    <t>522AA</t>
  </si>
  <si>
    <t>Green Submitted, Bronze</t>
  </si>
  <si>
    <t>WOS:000173872500002</t>
  </si>
  <si>
    <t>Bintanja, R; Reijmer, CH; Hulscher, SJMH</t>
  </si>
  <si>
    <t>Detailed observations of the rippled surface of Antarctic blue-ice areas</t>
  </si>
  <si>
    <t>DRONNING MAUD LAND; METEOROLOGICAL CONDITIONS; ENERGY BALANCE; SNOW; BUDGET</t>
  </si>
  <si>
    <t>This paper presents detailed observations of the regularly rippled surface oil an Antarctic blue-ice area near Svea, at five sites. The wavelength of the ripples was found to be 20-24 cm, while the wave height (crest-trough) was 1-2 cm. The ripple crests are generally oriented perpendicular to the direction of the strongest winds. Repeated measurements show that wave heights increase throughout the summer, with most ablation occurring in the wave troughs. This implies that traditional methods of measuring ablation (such as stakes when a rod on the ice surface is used to define a mean surface height) tend to underestimate total ablation because they sample only crests. One site exhibited significant migration of the surface ripples of about 2 cm month(-1) in the downwind direction, whereas three other sites showed no significant wave movement. The formation and the specific characteristics of the surface ripples are most likely caused by self-amplifying interaction mechanisms between the free ice surface and the overlying turbulent atmosphere, which necessarily involve spatial variations in sublimation. A simple model was used to quantify the interaction between the surface ripples, the airflow aloft and the sublimation rate. The model is able to predict wavelengths and migration rates that are in reasonable agreement with the observations.</t>
  </si>
  <si>
    <t>Univ Utrecht, Inst Marine &amp; Atmospher Res, NL-3508 TA Utrecht, Netherlands; Univ Twente, Dept Civil Engn, NL-7500 AE Enschede, Netherlands</t>
  </si>
  <si>
    <t>Utrecht University; University of Twente</t>
  </si>
  <si>
    <t>Univ Utrecht, Inst Marine &amp; Atmospher Res, POB 80005, NL-3508 TA Utrecht, Netherlands.</t>
  </si>
  <si>
    <t>10.3189/172756501781832106</t>
  </si>
  <si>
    <t>WOS:000173872500005</t>
  </si>
  <si>
    <t>Wellner, JS; Lowe, AL; Shipp, SS; Anderson, JB</t>
  </si>
  <si>
    <t>Distribution of glacial geomorphic features on the Antarctic continental shelf and correlation with substrate: implications for ice behavior</t>
  </si>
  <si>
    <t>PLEISTOCENE-HOLOCENE RETREAT; STREAM-B; WEST ANTARCTICA; ROSS-SEA; SUBGLACIAL GEOLOGY; BASAL MECHANICS; SHEET SYSTEM; LAURENTIDE; BENEATH; FLOW</t>
  </si>
  <si>
    <t>Surveys were conducted seaward of all the major drainage outlets of the Antarctic ice sheet from the Pennell Coast, north Victoria Land, to Marguerite Bay, Antarctic Peninsula. The results show that the ice sheet extended onto the outer shelf. Glacial troughs occur offshore of all major glacial outlets. Where the substrate is crystalline bedrock, ice flow tended to follow the structural grain of the bedrock, deposited little sediment and eroded the underlying bedrock. Where ice flowed over relatively soft, more easily eroded, sedimentary strata, the direction of ice flow was more directly offshore, and depositional features characterize the sea-floor. In these areas the signature of the grounded ice consists of till deposits and large-scale geomorphic features. Drumlins occur within the region of contact between crystalline and sedimentary substrates. The different geological substrates are interpreted to have exerted a fundamental control on the behavior of past ice sheets. The troughs in the areas of bedrock composed of sedimentary substrate are interpreted to have been occupied by relatively fast-flowing ice, ice streams, and the troughs in the areas of crystalline substrate are interpreted to have been occupied by slower-moving ice. The area between these two zones was characterized by ice acceleration and is marked by drumlins.</t>
  </si>
  <si>
    <t>Rice Univ, Dept Earth Sci, Houston, TX 77005 USA</t>
  </si>
  <si>
    <t>Rice University</t>
  </si>
  <si>
    <t>Wellner, JS (corresponding author), Rice Univ, Dept Earth Sci, Houston, TX 77005 USA.</t>
  </si>
  <si>
    <t>Anderson, John/B-1011-2012</t>
  </si>
  <si>
    <t>10.3189/172756501781832043</t>
  </si>
  <si>
    <t>WOS:000173872500006</t>
  </si>
  <si>
    <t>Whillans, IM; van der Veen, CJ</t>
  </si>
  <si>
    <t>Transmission of stress between an ice stream and interstream ridge</t>
  </si>
  <si>
    <t>SUBGLACIAL GEOLOGY; MARGIN MIGRATION; DYNAMICS; ANTARCTICA; FLOW</t>
  </si>
  <si>
    <t>Measurements of strain rate are used to describe the stress distribution at the lateral margin of an active West Antarctic ice stream. The goal is to describe the way in which drag at the sides operates to control the motion of this ice stream. The problem is inherently complex, but with some approximations a mainly analytic solution is obtained. Allowing for spatially varying ice strength shows that the shear strain rate decreases over a larger distance from the ice stream than for ice of uniform strength. The simplest explanation using the results of field measurements is that the upper 40% of the ice stream is able to support lateral stress. For the slow-moving interstream ridge, rather more of the thickness is strong. The lateral shear stress from the ice stream is transferred to a basal zone about 3 kin wide where basal drag reaches 60 kPa. This basal zone controls the speed of the ice stream.</t>
  </si>
  <si>
    <t>Ohio State Univ, Byrd Polar Res Ctr, Columbus, OH 43210 USA; Ohio State Univ, Dept Geol Sci, Columbus, OH 43210 USA</t>
  </si>
  <si>
    <t>University System of Ohio; Ohio State University; University System of Ohio; Ohio State University</t>
  </si>
  <si>
    <t>Ohio State Univ, Byrd Polar Res Ctr, 125 S Oval Mall, Columbus, OH 43210 USA.</t>
  </si>
  <si>
    <t>10.3189/172756501781832052</t>
  </si>
  <si>
    <t>WOS:000173872500009</t>
  </si>
  <si>
    <t>Isaksson, E; Karlén, W; Mayewski, P; Twickler, M; Whitlow, S</t>
  </si>
  <si>
    <t>A high-altitude snow chemistry record from Amundsenisen, Dronning Maud Land, Antarctica</t>
  </si>
  <si>
    <t>3 ICE CORES; PAST 2 KYR; METHANESULFONIC-ACID; SOUTH-POLE; CHEMICAL-COMPOSITION; SPATIAL VARIABILITY; TEMPORAL VARIATIONS; ACCUMULATION; SULFATE; TEMPERATURE</t>
  </si>
  <si>
    <t>In this paper a detailed record of major ions from a 20 in deep firn core from Amundsenisen, western Dronning Maud Land, Antarctica, is presented. The core was drilled at 75degreesS, 2degrees E (2900 m.a.s.l.) during austral summer 1991/92. The following ions were measured at 3 cm resolution: Na+, Mg2+, Ca2+, Cl-, NO3-, SO42- and CH3SO3H (MSA). The core was dated back to 1865 using a combination of chemical records and volcanic reference horizons. The volcanic eruptions identified in this core are Mount Ngauruhoe, New Zealand (1974-75), Mount Agung, Indonesia (1963), Azul, Argentina (1932). and a broad peak that corresponds in time to Tarawera, New Zealand (1886), Falcon Island, South Shetlands, Southern Ocean (1885), and Krakatau, Indonesia (1883). There are no trends in any of the ion records, but the annual to decadal changes are large. The mean concentrations of the measured ions are in agreement with those from other high-altitude cores from the Antarctic plateau. At this core site there may be a correspondence between peaks in the MSA record and major El Nino-Southern Oscillation events.</t>
  </si>
  <si>
    <t>Norwegian Polar Res Inst, N-9296 Tromso, Norway; Univ Stockholm, Dept Phys Geog, S-16091 Stockholm, Sweden; Univ Maine, Inst Quaternay Res, Climate Studies Ctr, Orono, ME 04469 USA; Univ New Hampshire, Inst Study Earth Oceans &amp; Space, Glacier Res Grp, Durham, NH 03824 USA</t>
  </si>
  <si>
    <t>Norwegian Polar Institute; Stockholm University; University of Maine System; University of Maine Orono; University System Of New Hampshire; University of New Hampshire</t>
  </si>
  <si>
    <t>Norwegian Polar Res Inst, N-9296 Tromso, Norway.</t>
  </si>
  <si>
    <t>Mayewski, Paul Andrew/HRD-6969-2023</t>
  </si>
  <si>
    <t>10.3189/172756501781832070</t>
  </si>
  <si>
    <t>WOS:000173872500015</t>
  </si>
  <si>
    <t>Han, JK; Xie, ZC; Zhang, XP; Dai, DS; Mayewski, PA; Twickler, MS</t>
  </si>
  <si>
    <t>Methanesulfonate in the firn of King George Island, Antarctica</t>
  </si>
  <si>
    <t>SEA-SALT SULFATE; SEASONAL-VARIATIONS; BIOGENIC SULFUR; ICE-SHEET; RECORD; SNOW; AIR; EMISSIONS; CHEMISTRY; CLIMATE</t>
  </si>
  <si>
    <t>Methanesulfonate was investigated as a potential contributor to the sulfur budget, based on analysis of a firn core from Collins Ice Cap, King George Island, Antarctica (62degrees10'S, 58degrees50' W). The anion was found to be present at a mean concentration of 0.17 mueq L-1, with a maxi, mum of 0.73 mueq L-1. Dating based on the delta(18)O profile suggests that the principal peaks of methanesulfonate are associated with snow deposited in summer and autumn. A careful examination of MSA, SO42- and nssSO(4)(2-) profiles indicates that two of the three peaks in the MSA profile may result mainly from migration and relocation of MSA. The mechanism responsible for this might be similar to that for deep cores from other Antarctic glaciers, supporting the migration hypothesis proposed by prior researchers and extending it to near-temperate ice. Due to the post-depositional modification, the main part of the MSA profile of the firn is no longer indicative of the seasonal pattern of MSA in the atmosphere, and the basis for calculation of the MSA/nssSO(4)(2-) ratio should be changed. The MSA/nssSO(4)(2-) ratio obtained by a new computation is 0.22, 10% higher than that ignoring the effect of MSA migration.</t>
  </si>
  <si>
    <t>Hunan Normal Univ, Res Inst Environm &amp; Resources, Changsha 410081, Peoples R China; Chinese Acad Sci, Inst Chem, Beijing 100080, Peoples R China; Univ New Hampshire, Inst Study Earth Oceans &amp; Space, Climat Change Res Ctr, Durham, NH 03824 USA</t>
  </si>
  <si>
    <t>Hunan Normal University; Chinese Academy of Sciences; Institute of Chemistry, CAS; University System Of New Hampshire; University of New Hampshire</t>
  </si>
  <si>
    <t>Han, JK (corresponding author), Hunan Normal Univ, Res Inst Environm &amp; Resources, Changsha 410081, Peoples R China.</t>
  </si>
  <si>
    <t>546BT</t>
  </si>
  <si>
    <t>WOS:000175252600007</t>
  </si>
  <si>
    <t>Haas, C; Thomas, DN; Bareiss, J</t>
  </si>
  <si>
    <t>Surface properties and processes of perennial Antarctic sea ice in summer</t>
  </si>
  <si>
    <t>WEDDELL-SEA; PACK-ICE; THICKNESS MEASUREMENTS; AMUNDSEN SEAS; SNOW COVER; BELLINGSHAUSEN; GROWTH; BIOMASS; MODEL; ASSEMBLAGES</t>
  </si>
  <si>
    <t>Ice-core and snow data from the Amundsen, Bellingshausen and Weddell Seas, Antarctica, show that the formation of superimposed ice and the development of sea-water-filled gap layers with high algal standing stocks is typical of the perennial sea ice in summer. The coarse-grained and dense snow had salinities mostly below 0.1parts per thousand. A layer of fresh superimposed ice had a mean thickness of 0.04-0.12 m. Gap layers 0.04-0.08 m thick extended downwards from 0.02 to 0.14 m below the water level. These gaps were populated by diatom standing stocks up to 439 mug L-1 chlorophyll a. We propose a comprehensive heuristic model of summer processes, where warming and the reversal of temperature gradients cause major transformations in snow and ice properties. The warming also causes the reopening of incompletely frozen slush layers caused by flood-freeze cycles during winter. Alternatively, superimposed ice forms at the cold interface between snow and slush in the case of flooding with negative freeboard. Combined, these explain the initial formation of gap layers by abiotic means alone. The upward growth of superimposed ice above the water level competes with a steady submergence of floes due to bottom and internal melting and accumulation of snow.</t>
  </si>
  <si>
    <t>Alfred Wegener Inst Polar &amp; Marine Res, D-27568 Bremerhaven, Germany; Univ Wales Bangor, Sch Ocean Sci, Menai Bridge LL59 5EY, Anglesey, Wales; Univ Trier, Fac Geog &amp; Geosci, Dept Climatol, D-54286 Trier, Germany</t>
  </si>
  <si>
    <t>Helmholtz Association; Alfred Wegener Institute, Helmholtz Centre for Polar &amp; Marine Research; Bangor University; Universitat Trier</t>
  </si>
  <si>
    <t>Alfred Wegener Inst Polar &amp; Marine Res, Columbusstr,POB 120161, D-27568 Bremerhaven, Germany.</t>
  </si>
  <si>
    <t>Haas, Christian/L-5279-2016; Thomas, David Neville/B-1448-2010</t>
  </si>
  <si>
    <t>Haas, Christian/0000-0002-7674-3500; Thomas, David Neville/0000-0001-8832-5907</t>
  </si>
  <si>
    <t>10.3189/172756501781831864</t>
  </si>
  <si>
    <t>WOS:000175252600010</t>
  </si>
  <si>
    <t>Hayward, SAL; Bale, JS; Worland, MR; Convey, P</t>
  </si>
  <si>
    <t>Influence of temperature on the hygropreference of the Collembolan, Cryptopygus antarcticus, and the mite, Alaskozetes antarcticus from the maritime Antarctic</t>
  </si>
  <si>
    <t>JOURNAL OF INSECT PHYSIOLOGY</t>
  </si>
  <si>
    <t>collembola; mite; maritime antarctic; relative humidity; temperature</t>
  </si>
  <si>
    <t>WATER-CONTENT; ARTHROPODS; DESICCATION; POPULATION; SURVIVAL; HUMIDITY</t>
  </si>
  <si>
    <t>The hygropreference of adult Cryptopygus antarcticus and Alaskozetes antarcticus was investigated over 2 h at 5, 10 and 20 degreesC, along humidity gradients (9-98% RH) established by means of different salt solutions. Two chamber arrangements were employed, linear and grid, to determine any influence of thigmotactic behaviour on distribution within the RH gradient. The humidity preference of both species Varied with temperature. At 5 and 10 degreesC, C. antarcticus distributed homogeneously showing no clear RH preference. At 20 degreesC, this species preferred the highest humidity (98% RH). A. antarcticus demonstrated a preference for the lowest humidity (9% RH) at 5 degreesC, but at 10 degreesC its distribution differed between the two arena types. At 20 degreesC, A. antarcticus showed no clear humidity preference. Assays to control for experimental asymmetries along the gradient; thigmotactic behaviour; and aggregative behaviour exclude these factors as explanations for the observed results. The mean initial water content of samples did not differ significantly between temperature regimes (C. antarcticus: 68.6, 71.1 and 74.3%; A. antarcticus: 68.1, 70.1 and 68.6% at 5, 10 and 20 degreesC respectively), but the level of water loss increased significantly with temperature. The influence of desiccation tolerance and the ecological significance of the observed humidity preferences are discussed. (C) 2000 Elsevier Science Ltd. All rights reserved.</t>
  </si>
  <si>
    <t>Univ Birmingham, Sch Biosci, Birmingham B15 2TT, W Midlands, England; British Antarctic Survey, NERC, Cambridge CB3 0ET, England</t>
  </si>
  <si>
    <t>University of Birmingham; UK Research &amp; Innovation (UKRI); Natural Environment Research Council (NERC); NERC British Antarctic Survey</t>
  </si>
  <si>
    <t>Univ Birmingham, Sch Biosci, Birmingham B15 2TT, W Midlands, England.</t>
  </si>
  <si>
    <t>s.a.l.hayward@bham.ac.uk</t>
  </si>
  <si>
    <t>Convey, Peter/0000-0001-8497-9903; Hayward, Scott/0000-0002-1899-6630</t>
  </si>
  <si>
    <t>0022-1910</t>
  </si>
  <si>
    <t>1879-1611</t>
  </si>
  <si>
    <t>J INSECT PHYSIOL</t>
  </si>
  <si>
    <t>J. Insect Physiol.</t>
  </si>
  <si>
    <t>10.1016/S0022-1910(00)00088-3</t>
  </si>
  <si>
    <t>Entomology; Physiology; Zoology</t>
  </si>
  <si>
    <t>374TU</t>
  </si>
  <si>
    <t>WOS:000165361100002</t>
  </si>
  <si>
    <t>Klok, CJ; Chown, SL</t>
  </si>
  <si>
    <t>Critical thermal limits, temperature tolerance and water balance of a sub-Antarctic kelp fly, Paractora dreuxi (Diptera: Helcomyzidae)</t>
  </si>
  <si>
    <t>ontogenetic differences; CTMin; CTMax; freeze tolerance; osmoregulation; Marion Island; climate change</t>
  </si>
  <si>
    <t>INSECT COLD-HARDINESS; DESICCATION RESISTANCE; BEETLES COLEOPTERA; OSMOTIC REGULATION; CLIMATIC-CHANGE; LARVAE; DIPTERA; OSMOREGULATION; LEPIDOPTERA; PHYSIOLOGY</t>
  </si>
  <si>
    <t>Paractora dreuxi displays distinct ontogenetic differences in thermal tolerance and water balance. Larvae are moderately freeze tolerant. Mean larval onset of chill coma was -5.1 degreesC, and onset of heat stupor was 35.5 degreesC. Larval supercooling point (SCP) was -3.3 degreesC with 100% recovery, although mortality was high below -4 degreesC. Starvation caused SCP depression in the larvae. Adults were significantly less tolerant, with critical thermal limits of -2.7 and 30.2 degreesC, no survival below the SCP (-9.6 degreesC), and no change in SCP with starvation. Moderate freeze tolerance in the larvae supports the contention that this strategy is common in insects from southern, oceanic islands. Fly larvae survived desiccation in dry air for 30 h, and are thus less desiccation tolerant than most other sub-Antarctic insect larvae. Water loss rates of the adults were significantly lower than those of the larvae. Lipid metabolism did not contribute significantly to water replacement in larvae, which replaced lost body water by drinking fresh water, but not sea water. Kelp fly larvae had excellent haemolymph osmoregulatory abilities. Current climate change has led to increased temperatures and decreased rainfall on Marion Island. These changes are likely to have significant effects on P. dreuxi, and pronounced physiological regulation in larvae suggests that they will be most susceptible to such change. (C) 2000 Elsevier Science Ltd. All rights reserved.</t>
  </si>
  <si>
    <t>Univ Pretoria, Dept Zool &amp; Entomol, ZA-0002 Pretoria, South Africa</t>
  </si>
  <si>
    <t>University of Pretoria</t>
  </si>
  <si>
    <t>Univ Pretoria, Dept Zool &amp; Entomol, ZA-0002 Pretoria, South Africa.</t>
  </si>
  <si>
    <t>cjklok@zoology.up.ac.za</t>
  </si>
  <si>
    <t>Chown, Steven L/H-3347-2011; Chown, Steven/ABD-7646-2021</t>
  </si>
  <si>
    <t>10.1016/S0022-1910(00)00087-1</t>
  </si>
  <si>
    <t>WOS:000165361100010</t>
  </si>
  <si>
    <t>Boyd, IL; Hawker, EJ; Brandon, MA; Staniland, IJ</t>
  </si>
  <si>
    <t>Measurement of ocean temperatures using instruments carried by Antarctic fur seals</t>
  </si>
  <si>
    <t>JOURNAL OF MARINE SYSTEMS</t>
  </si>
  <si>
    <t>oceanography; temperature measurement; frontal features; water temperature; time-depth recorders; Antarctic fur seal; Southern Ocean, South Georgia (54 degrees S, 37 degrees W)</t>
  </si>
  <si>
    <t>SOUTHERN ELEPHANT SEALS; INTERANNUAL VARIABILITY; WANDERING ALBATROSSES; SATELLITE TRACKING; WATER TEMPERATURE; GEORGIA; ATLANTIC</t>
  </si>
  <si>
    <t>The study aimed to test the utility of instruments deployed on marine mammals for measuring physical oceanographic variation and, using this method, to examine temperature variation in the coastal waters around South Georgia. There was a significant correlation between temperature measurements made using a towed undulating oceanographic recorder (UOR) and concurrent measurements from time-depth recorders (TDRs) fitted to lactating Antarctic fur seals foraging from the coast of South Georgia, Congruence was found at horizontal spatial scales from 0.01 degrees x 0.01 degrees to 0.5 degrees x 0.5 degrees (degrees of latitude and longitude), and at a vertical scale of 10 m. However, there was no significant correlation between temperature measured by TDRs in the top 5 m and sea surface temperature (SST) measured by satellite remote sensing. TDR data provided information about temperature variation vertically through the water column, and through rime. The UOR data were used to recalibrate the TDR data in order to correct for the slow response time of the TDR thermistor relative to the speed of seal movements through the water column. Seasonal temperature variation was apparent, and temperatures also varied between regions, and with bathymetry. These results were consistent with the current interpretation of the coastal oceanography around South Georgia. In particular, the relationship between on- and off-shelf waters showed larger amounts of warmer surface water in a region in which more run-off was to be expected. The study also showed that Antarctic fur seals concentrate their activity in regions of colder, and presumably oceanic, water. Such instrumented animals could provide near real time data for assimilation into ocean models. (C) 2001 Elsevier Science B.V. All rights reserved.</t>
  </si>
  <si>
    <t>Boyd, IL (corresponding author), British Antarctic Survey, NERC, Madingley Rd, Cambridge CB3 0ET, England.</t>
  </si>
  <si>
    <t>Staniland, Iain/I-4725-2012; Brandon, Mark A/A-5804-2010</t>
  </si>
  <si>
    <t>Staniland, Iain/0000-0003-2736-9134; Brandon, Mark/0000-0002-7779-0958</t>
  </si>
  <si>
    <t>PO BOX 211, 1000 AE AMSTERDAM, NETHERLANDS</t>
  </si>
  <si>
    <t>0924-7963</t>
  </si>
  <si>
    <t>J MARINE SYST</t>
  </si>
  <si>
    <t>J. Mar. Syst.</t>
  </si>
  <si>
    <t>10.1016/S0924-7963(00)00073-7</t>
  </si>
  <si>
    <t>Geosciences, Multidisciplinary; Marine &amp; Freshwater Biology; Oceanography</t>
  </si>
  <si>
    <t>Geology; Marine &amp; Freshwater Biology; Oceanography</t>
  </si>
  <si>
    <t>396TG</t>
  </si>
  <si>
    <t>WOS:000166652200001</t>
  </si>
  <si>
    <t>Thomas, H; Ittekkot, V</t>
  </si>
  <si>
    <t>Determination of anthropogenic CO2 in the North Atlantic Ocean using water mass ages and CO2 equilibrium chemistry</t>
  </si>
  <si>
    <t>anthropogenic CO2; North Atlantic Ocean; equilibrium chemistry; ventilation age</t>
  </si>
  <si>
    <t>CARBON-DIOXIDE; THERMOHALINE CIRCULATION; BOTTOM WATER; WEDDELL SEA; SECTION; TRACERS; RATIOS; SYSTEM; BUDGET</t>
  </si>
  <si>
    <t>A new method to calculate the anthropogenic CO2 (Delta DICant) within the water column of the North Atlantic Ocean is presented. The method exploits the equilibrium chemistry of the carbonate system with reference to temperature, salinity and the partial pressure of atmospheric CO2 (pCO(2,atm)). Delta DICant is calculated with reference to the ventilation ages of water masses derived from tracer data and to the time history of pCO(2,atm). The method is applied to data recorded during the WOCE program on the WHP A1/E transect in the North Atlantic Ocean, where we characterise six key water masses by their relationships of dissolved inorganic carbon (DIC) and apparent oxygen utilisation (AOU). The error in determining Delta DICant is reduced significantly by minimising the number of values referred to, especially by avoiding any use of remineralisation ratios of particulate organic matter. The distribution of Delta DICant shows highest values of up to 45 mu mol kg(-1) in the surface waters falling to 18-33 mu mol kg(-1) in the Irminger Sea west of the Mid-Atlantic Ridge. The eastern basin is imprinted by older water masses revealing decreasing values down to 10 mu mol kg(-1) Delta DICant in the Antarctic Bottom Water. These findings indicate the penetration of the whole water column of the North Atlantic Ocean by anthropogenic CO2. (C) 2001 Elsevier Science B.V. All rights reserved.</t>
  </si>
  <si>
    <t>Univ Hamburg, Inst Biogeochem &amp; Marine Chem, D-20146 Hamburg, Germany; Ctr Trop Marine Ecol, D-28539 Bremen, Germany</t>
  </si>
  <si>
    <t>University of Hamburg; Leibniz Zentrum fur Marine Tropenforschung (ZMT)</t>
  </si>
  <si>
    <t>Thomas, H (corresponding author), Netherlands Inst Sea Res, Dept Marine Chem &amp; Geol, POB 59, NL-1790 AB Den Burg, Netherlands.</t>
  </si>
  <si>
    <t>Ittekkot, Venugopalan/AAC-3437-2022</t>
  </si>
  <si>
    <t>Ittekkot, Venugopalan/0000-0003-2667-5068</t>
  </si>
  <si>
    <t>10.1016/S0924-7963(00)00077-4</t>
  </si>
  <si>
    <t>WOS:000166652200005</t>
  </si>
  <si>
    <t>Holfort, J; Siedler, G</t>
  </si>
  <si>
    <t>The meridional oceanic transports of heat and nutrients in the South Atlantic</t>
  </si>
  <si>
    <t>JOURNAL OF PHYSICAL OCEANOGRAPHY</t>
  </si>
  <si>
    <t>NORTH-ATLANTIC; GENERAL-CIRCULATION; THERMOCLINE WATER; INVERSE METHODS; BRAZIL BASIN; FLUXES; FLOW; EXCHANGE; CURRENTS; BOUNDARY</t>
  </si>
  <si>
    <t>Meridional transports of mass, heat, nutrients, and carbon across coast-to-coast WOCE and pre-WOCE sections between 11 degreesS and 45 degreesS in the South Atlantic are calculated using an inverse model. Usually salt preservation is used as a condition in the inverse model, and only in the case of heat transport the condition of zero total mass transport is taken instead. Other constraints include silica conservation, prescribed southward fluxes of salt and phosphate, and transports in the southward Brazil Current and in the northward Antarctic Bottom Water flow obtained from WOCE moored current meter arrays. The constraints set the underdetermined system of linear equations of the inverse model whose solutions depend on weights, scales, and matrix ranks. The discussion emphasizes the sensitivity of the fluxes to changes in the model input. The transports given in the following are obtained as the means of reasonable solutions at 30 degreesS. The error numbers in parentheses include uncertainties due to wind stress and temporal variability, the numbers without parentheses do not contain these terms: 0.53 +/- 0.03 (0.09) Tg s(-1) mass to the south, 0.29 +/- 0.05 (0.24) PW heat to the north, 15 +/- 120 (500) kmol s(-1) oxygen to the south, 121 +/- 22 (75) kmol s(-1) nitrate to the south, 64 +/- 110 (300) silica to the north, and 1997 +/- 215 (600) kmol s(-1) dissolved inorganic carbon to the south. The above errors in transports are obviously dominated by uncertainties in wind stress and temporal variability. The divergence in meridional heat and mass transport is consistent with integral surface flux changes between corresponding zonal bands. The mass compensation of southward flowing North Atlantic Deep Water occurs to a greater extent in the warm surface waters than in the Antarctic Intermediate Water below. If one follows the arguments of earlier authors on the relation between meridional fluxes and the significance of the two possible pathways for the global thermohaline circulation, the warm water path south of Africa seems to be somewhat more important than the cold water path through Drake Passage.</t>
  </si>
  <si>
    <t>Univ Kiel, Inst Meereskunde, D-2300 Kiel, Germany</t>
  </si>
  <si>
    <t>University of Kiel</t>
  </si>
  <si>
    <t>Holfort, J (corresponding author), Univ Hamburg, Inst Meereskunde, Troplowitzstr 7, D-22529 Hamburg, Germany.</t>
  </si>
  <si>
    <t>0022-3670</t>
  </si>
  <si>
    <t>J PHYS OCEANOGR</t>
  </si>
  <si>
    <t>J. Phys. Oceanogr.</t>
  </si>
  <si>
    <t>10.1175/1520-0485(2001)031&lt;0005:TMOTOH&gt;2.0.CO;2</t>
  </si>
  <si>
    <t>393ND</t>
  </si>
  <si>
    <t>Bronze, Green Accepted</t>
  </si>
  <si>
    <t>WOS:000166475800002</t>
  </si>
  <si>
    <t>Sloyan, BM; Rintoul, SR</t>
  </si>
  <si>
    <t>The Southern Ocean limb of the global deep overturning circulation</t>
  </si>
  <si>
    <t>TOTAL GEOSTROPHIC CIRCULATION; WESTERN-BOUNDARY CURRENT; LARGE-SCALE CIRCULATION; ANTARCTIC BOTTOM WATER; INDIAN-OCEAN; NORTH-ATLANTIC; HYDROGRAPHIC SECTION; PACIFIC-OCEAN; THERMOHALINE CIRCULATION; GENERAL-CIRCULATION</t>
  </si>
  <si>
    <t>Nine hydrographic sections are combined in an inverse box model of the Southern Ocean south of similar to 12 degreesS. The inclusion of independent diapycnal flux unknowns for each property and air-sea (heat, freshwater, and momentum) fluxes make it possible to estimate the three-dimensional deep water circulation. The authors find a vigorous 50 x 10(6) m(3) s(-1) deep overturning circulation that is dominated by an equatorward flow of Lower Circumpolar Deep Water and Antarctic Bottom Water and poleward flow of upper deep water including Indian and Pacific Deep Water below 1500 dbar. In the subtropical Indian and Pacific Oceans the deep overturning cell is essentially isolated from the thermocline and intermediate waters of the subtropical gyre. The southward flowing upper deep water shoals south of the Antarctic Circumpolar Current, where air-sea fluxes convert outcropping upper deep water to Antarctic surface water and drive a net air-sea transformation of 34 x 10(6) m(3) s(-1) to lighter intermediate water. It is the outcropping of upper deep water and transformation by air-sea fluxes that connects the deep and intermediate circulation cells. The significant poleward transport of relatively light (i.e., above all topography at the latitude of Drake Passage) upper deep water, as required here to balance lateral and diapycnal divergence and air-sea exchange, provides observational evidence that advection by standing and transient eddies carries significant meridional transport in the Southern Ocean.</t>
  </si>
  <si>
    <t>Alfred Wegener Inst Polar &amp; Marine Res, D-2850 Bremerhaven, Germany; CSIRO, Div Marine Res, Hobart, Tas, Australia; Univ Tasmania, Anyarctic CRC, Hobart, Tas, Australia</t>
  </si>
  <si>
    <t>Helmholtz Association; Alfred Wegener Institute, Helmholtz Centre for Polar &amp; Marine Research; Commonwealth Scientific &amp; Industrial Research Organisation (CSIRO); University of Tasmania</t>
  </si>
  <si>
    <t>Sloyan, BM (corresponding author), NOAA, Pacific Marine Environm Lab, OCRD, Bldg 3,7600 Sand Point Way Ne, Seattle, WA 98115 USA.</t>
  </si>
  <si>
    <t>Rintoul, Stephen R/A-1471-2012; Sloyan, Bernadette/N-8989-2014</t>
  </si>
  <si>
    <t>Rintoul, Stephen R/0000-0002-7055-9876; Sloyan, Bernadette/0000-0003-0250-0167</t>
  </si>
  <si>
    <t>10.1175/1520-0485(2001)031&lt;0143:TSOLOT&gt;2.0.CO;2</t>
  </si>
  <si>
    <t>WOS:000166475800010</t>
  </si>
  <si>
    <t>Jenkins, A; Hellmer, HH; Holland, DM</t>
  </si>
  <si>
    <t>The role of meltwater advection in the formulation of conservative boundary conditions at an ice-ocean interface</t>
  </si>
  <si>
    <t>THERMOHALINE CIRCULATION; MIXED-LAYER; SEA ICE; SHELF; MODEL; WATER; THERMODYNAMICS; DYNAMICS; FLUX; ZONE</t>
  </si>
  <si>
    <t>Upper boundary conditions for numerical models of the ocean are conventionally formulated under the premise that the boundary is a material surface. In the presence of an ice cover, such an assumption can lead to nonconservative equations for temperature, salinity, and other tracers. The problem arises because conditions at the ice-ocean interface differ from those in the water beneath. Advection of water with interfacial properties into the interior of the ocean therefore constitutes a tracer flux, neglect of which induces a drift in concentration that is most rapid for those tracers having the lowest diffusivities. If tracers are to be correctly conserved, either the kinematic boundary condition must explicitly allow advection across the interface, or the flux boundary condition must parameterize the effects of both vertical advection and diffusion in the boundary layer. In practice, the latter alternative is often implemented, although this is rarely done for all tracers.</t>
  </si>
  <si>
    <t>British Antarctic Survey, Nat Environm Res Council, Cambridge CB3 0ET, England; Alfred Wegener Inst Polar &amp; Marine Res, D-2850 Bremerhaven, Germany; NYU, Courant Inst Math Sci, New York, NY USA</t>
  </si>
  <si>
    <t>UK Research &amp; Innovation (UKRI); Natural Environment Research Council (NERC); NERC British Antarctic Survey; Helmholtz Association; Alfred Wegener Institute, Helmholtz Centre for Polar &amp; Marine Research; New York University</t>
  </si>
  <si>
    <t>Jenkins, A (corresponding author), British Antarctic Survey, Nat Environm Res Council, High Cross,Madingley Rd, Cambridge CB3 0ET, England.</t>
  </si>
  <si>
    <t>Jenkins, Adrian/IUN-2406-2023</t>
  </si>
  <si>
    <t>Jenkins, Adrian/0000-0002-9117-0616; Hellmer, Hartmut/0000-0002-9357-9853</t>
  </si>
  <si>
    <t>10.1175/1520-0485(2001)031&lt;0285:TROMAI&gt;2.0.CO;2</t>
  </si>
  <si>
    <t>Green Accepted, Bronze</t>
  </si>
  <si>
    <t>WOS:000166475800017</t>
  </si>
  <si>
    <t>Kim, SJ; Stössel, A</t>
  </si>
  <si>
    <t>Impact of subgrid-scale convection on global thermohaline properties and circulation</t>
  </si>
  <si>
    <t>ANTARCTIC CIRCUMPOLAR CURRENT; CLIMATE-SYSTEM-MODEL; SEA ICE MODEL; WATER MASSES; OCEAN CIRCULATION; DEEP CONVECTION; SOUTHERN-OCEAN; BOTTOM WATER; WEDDELL SEA; WORLD OCEAN</t>
  </si>
  <si>
    <t>In most ocean general circulation models the simulated global-scale deep-ocean thermohaline properties appear to be chronically colder and fresher than observed. To some extent, this discrepancy has been known to be due to excessive open-ocean deep convection in the Southern Ocean (SO) caused by crude convective adjustment'' parameterizations on scales typically two orders of magnitude larger than the actual convection scale. To suppress the strength of open-ocean convection and to thereby eventually improve the global deep-ocean water properties, the authors first reduced convection in the SO in an ad hoc manner by activating it every 10 days rather than every model time step (20 hours). Second, a more physically based subgrid-scale convection in the SO was introduced by applying the penetrative plume convection scheme of Paluszkiewicz and Romea. With both treatments, SO convection decreased by about 30%, and the globally averaged deep-ocean potential temperature and salinity increased substantially to within 0.2 degreesC and 0.02 psu of observed estimates. Furthermore, the plume convection scheme led to more realistic vertical temperature and salinity sections with more distinct Circumpolar Deep Water extension toward the south and a significant improvement of SO sea ice in terms of its thickness and its seasonality. The results of this study confirm that in order to obtain more realistic deep-ocean properties, open-ocean convection in the SO must be substantially weakened and shallower. This can be achieved by adopting a more physical plume convection scheme.</t>
  </si>
  <si>
    <t>Univ Victoria, Canadian Ctr Climate Modeling &amp; Anal, Victoria, BC V8W 2Y2, Canada; Texas A&amp;M Univ, Dept Oceanog, College Stn, TX 77843 USA</t>
  </si>
  <si>
    <t>University of Victoria; Environment &amp; Climate Change Canada; Canadian Centre for Climate Modelling &amp; Analysis (CCCma); Texas A&amp;M University System; Texas A&amp;M University College Station</t>
  </si>
  <si>
    <t>Kim, SJ (corresponding author), Univ Victoria, Canadian Ctr Climate Modeling &amp; Anal, MSC POB 1700,STN CSC, Victoria, BC V8W 2Y2, Canada.</t>
  </si>
  <si>
    <t>10.1175/1520-0485(2001)031&lt;0656:IOSSCO&gt;2.0.CO;2</t>
  </si>
  <si>
    <t>411AN</t>
  </si>
  <si>
    <t>WOS:000167476100002</t>
  </si>
  <si>
    <t>Lavrenov, IV</t>
  </si>
  <si>
    <t>Effect of wind wave parameter fluctuation on the nonlinear spectrum evolution</t>
  </si>
  <si>
    <t>ENERGY-TRANSFER; SEA WAVES</t>
  </si>
  <si>
    <t>The influence of the wind wave parameter fluctuation on the nonlinear spectrum evolution is estimated by solving numerically the kinetic equation taking into account the nonlinear interaction in the wave spectrum. The nonlinear energy transfer is calculated using an original numerical integrating method of the highest accuracy that is described in the paper. The results of numerical simulation shows that wind wave parameter fluctuation produces a significant increase effect of the nonlinear wave spectrum evolution. The present study results in a parameterization, which is made possible taking into account this effect in spectral wind wave models.</t>
  </si>
  <si>
    <t>State Res Ctr Russian Federat, Arctic &amp; Antarctic Res Inst, St Petersburg 199397, Russia</t>
  </si>
  <si>
    <t>Arctic &amp; Antarctic Research Institute</t>
  </si>
  <si>
    <t>Lavrenov, IV (corresponding author), State Res Ctr Russian Federat, Arctic &amp; Antarctic Res Inst, 38 Bering St, St Petersburg 199397, Russia.</t>
  </si>
  <si>
    <t>10.1175/1520-0485(2001)031&lt;0861:EOWWPF&gt;2.0.CO;2</t>
  </si>
  <si>
    <t>420EE</t>
  </si>
  <si>
    <t>WOS:000167990800001</t>
  </si>
  <si>
    <t>Vivier, FR; Provost, C; Meredith, MP</t>
  </si>
  <si>
    <t>Remote and local forcing in the Brazil-Malvinas region</t>
  </si>
  <si>
    <t>ANTARCTIC CIRCUMPOLAR CURRENT; BOTTOM PRESSURE MEASUREMENTS; SEA-SURFACE TEMPERATURE; DRAKE PASSAGE; LARGE-SCALE; SOUTHWESTERN ATLANTIC; SEASONAL VARIABILITY; BOUNDARY CURRENTS; COUPLED PATTERNS; SOUTH-ATLANTIC</t>
  </si>
  <si>
    <t>Origins of the seasonal variability observed in current meter data from the Malvinas (Falkland) Current are sought in the wind field on both a regional and circumpolar scale. A singular value decomposition of the covariance of the fields makes it possible to distinguish between a local and a remote source of variability. The local mode is the result of changes in the wind stress curl around 40 degreesS causing an annual modulation transverse to the mean path of the current, and thus contributes little to the variability in transport. It seems likely that the wind stress curl drives the annual excursions of the Brazil-Malvinas Front and forces the retroflection of the Malvinas Current. The remote mode features increased transport trailing negative wind stress curl anomalies at Drake Passage with a lag of 20-30 days. Repeating this analysis with the winds on a circumpolar domain suggests that this might be the regional manifestation of a more global feature, associating globally negative wind stress curl anomalies north of 60 degreesS with increased transport. This analysis also shows that the Malvinas Current transport is anticorrelated with the zonal wind stress, hence with the Antarctic Circumpolar Current. Although initially counterintuitive, this is confirmed through coherence analyses with bottom pressure measurements at the south of Drake Passage. These results are further assessed using a 5-yr series of transport in the Malvinas Current derived from TOPEX/Poseidon altimeter data, which is compared with the circumpolar averages of both zonal wind stress and wind stress curl. Coherences are largest with the wind stress curl at latitudes north of Drake Passage (up to the subtropics), and also indicate that it is most influential in the Pacific sector. It is suggested that the Antarctic Circumpolar Current and the Malvinas Current respond differently to the wind forcing, and that these two modes cohabit at Drake Passage. While the barotropic variations of the former have been shown to respond to the zonally averaged wind stress, the fluctuations of the latter at timescales of 100-200 days are more Sverdrupian, that is, sensitive to the wind stress curl (lag similar to 20 days), explaining why they fluctuate with opposite phase. Superimposed on this, intraseasonal variability at shorter periods (similar to 70 days) results from baroclinic shelf waves trapped along the edge of the Patagonian plateau. These propagate from Drake Passage, and may originate from equatorial Kelvin waves in the Pacific.</t>
  </si>
  <si>
    <t>Univ Paris 06, Lab Oceanog Dynam &amp; Climatol, Paris, France; Univ E Anglia, Sch Environm Sci, Norwich NR4 7TJ, Norfolk, England</t>
  </si>
  <si>
    <t>Sorbonne Universite; University of East Anglia</t>
  </si>
  <si>
    <t>Vivier, FR (corresponding author), Univ Washington, Appl Phys Lab, Sch Oceanog, Box 355640,1013 NE 40th St, Seattle, WA 98105 USA.</t>
  </si>
  <si>
    <t>Provost, Christine/0000-0003-4693-3685; Vivier, Frederic/0000-0003-2539-4133; Meredith, Michael/0000-0002-7342-7756</t>
  </si>
  <si>
    <t>10.1175/1520-0485(2001)031&lt;0892:RALFIT&gt;2.0.CO;2</t>
  </si>
  <si>
    <t>WOS:000167990800003</t>
  </si>
  <si>
    <t>McCreary, JP; Lu, P</t>
  </si>
  <si>
    <t>Influence of the Indonesian throughflow on the circulation of Pacific intermediate water</t>
  </si>
  <si>
    <t>WESTERN EQUATORIAL PACIFIC; NORTH PACIFIC; SUBSURFACE COUNTERCURRENTS; WORLD OCEAN; WIND STRESS; FLOW; VENTILATION; SECTION; MODE</t>
  </si>
  <si>
    <t>A 4 1/2 layer model is used to study intermediate-water circulation in the Pacific Ocean. Solutions are forced by annual-mean winds. They are also driven by a prescribed inflow of water through the southwestern corner of the basin [12 Sv = Sv 10(6) m(3) s(-1))] and a compensating outflow in layers 1, 2, and 3 through the western boundary just north of the equator; this mass exchange simulates the Pacific interocean circulation (IOC), in which intermediate water enters the South Pacific, and the same amount of upper water exits via the Indonesian passages. The water in each subsurface layer is formed by specific processes, and hence can be interpreted as corresponding to a distinct water-mass type. The types are thermocline water generated by subtropical subduction (layer 2), upper-intermediate and lower-thermocline water generated by midlatitude subduction in the North and South Pacific (NPIW and SPLTW, respectively; layer 3), and lower-intermediate water that corresponds to Antarctic Intermediate Water (AAIW; layer 4). Solutions are compared for different throughflow vertical structures and without the IOC. For all solutions, the amount of NPIW that moves into the Tropics is almost unchanged (;4 Sv), indicating that it is remotely determined by midlatitude processes. If the layer 3 outflow is sufficiently large (greater than or similar to4 Sv), most of the tropical NPIW exits the basin in the throughflow, and SPLTW fills the northern tropical ocean, consistent with the observed circulation. If it is small, however, most of the tropical NPIW recirculates in the northern Tropics, and no SPLTW enters this region. With the IOC, AAIW crosses into the Northern Hemisphere (3.8 Sv), and more than half eventually moves into subpolar ocean. Without the IOC, the transport of AAIW into the Northern Hemisphere is an order of magnitude less (0.37 Sv), and NPIW occupies most of the tropical ocean in both hemispheres, properties that differ markedly from observations. These results suggest that the Indonesian Throughflow is a possible reason why intermediate waters of Southern Hemisphere origin fill the tropical Pacific and spread to higher northern latitudes.</t>
  </si>
  <si>
    <t>Univ Hawaii, Sch Ocean &amp; Earth Sci &amp; Technol, IPRC, Honolulu, HI 96822 USA; Nova SE Univ, Oceanog Ctr, Dania, FL USA</t>
  </si>
  <si>
    <t>University of Hawaii System; Nova Southeastern University</t>
  </si>
  <si>
    <t>McCreary, JP (corresponding author), Univ Hawaii, Sch Ocean &amp; Earth Sci &amp; Technol, IPRC, 2525 Correa Rd,POST 401, Honolulu, HI 96822 USA.</t>
  </si>
  <si>
    <t>jay@soest.hawaii.edu</t>
  </si>
  <si>
    <t>1520-0485</t>
  </si>
  <si>
    <t>10.1175/1520-0485(2001)031&lt;0932:IOTITO&gt;2.0.CO;2</t>
  </si>
  <si>
    <t>WOS:000167990800005</t>
  </si>
  <si>
    <t>Circulation, renewal, and modification of Antarctic mode and intermediate water</t>
  </si>
  <si>
    <t>SOUTH INDIAN-OCEAN; TOTAL GEOSTROPHIC CIRCULATION; AIR-SEA FLUXES; HYDROGRAPHIC SECTION; ATLANTIC OCEAN; NORTH-ATLANTIC; GENERAL-CIRCULATION; CIRCUMPOLAR CURRENT; BOUNDARY CURRENT; MASS FORMATION</t>
  </si>
  <si>
    <t>Nine hydrographic sections are combined in an inverse box model of the Southern Ocean south of similar to 12 degreesS. The inverse model has two novel features: the inclusion of independent diapycnal flux unknowns for each property and the explicit inclusion of air-sea fluxes (heat, freshwater, and momentum) and the water mass transformation they drive. Transformation of 34 x 10(6) m(3) s(-1) of Antarctic Surface Water by air-sea buoyancy fluxes, and cooling and freshening where Subantarctic Mode Water outcrops, renews cold, fresh Antarctic Intermediate Water of the southeast Pacific and southwest Atlantic. Relatively cold, fresh mode and intermediate water enter the subtropical gyres, are modified by air-sea fluxes and interior mixing, and return poleward as warmer, saltier mode and intermediate water. While the zonally integrated meridional transport in these layers is small, the gross exchange is approximately 80 x 10(6) m(3) s(-1). The air-sea transformation of Antarctic surface water to intermediate water is compensated in the Southern Ocean by an interior diapycnal flux of 32 x 10(6) m(3) s(-1) of intermediate water to upper deep water. The small property differences between slightly warmer, saltier intermediate water and cold, fresh Antarctic Surface Water results in a poleward transfer of heat and salt across the Polar Front zone. Mode and intermediate water are crucial participants in the North Atlantic Deep Water overturning and Indonesian Throughflow circulation cells. The North Atlantic Deep Water overturning is closed by cold, fresh intermediate water that is modified to warm, salty varieties by air-sea fluxes and interior mixing in the Atlantic and southwest Indian Oceans. The Indonesian Throughflow is part of a circum-Australia circulation. In the Indian Ocean, surface water is converted to denser thermocline and mode water by air-sea fluxes and interior mixing, excess mode water flows eastward south of Australia, and air-sea fluxes convert mode water to thermocline water in the Pacific.</t>
  </si>
  <si>
    <t>Alfred Wegener Inst Polar &amp; Marine Res, Bremerhaven, Germany; Univ Tasmania, Antarctic CRC, Hobart, Tas, Australia; CSIRO, Div Marine Res, Hobart, Tas, Australia</t>
  </si>
  <si>
    <t>Helmholtz Association; Alfred Wegener Institute, Helmholtz Centre for Polar &amp; Marine Research; University of Tasmania; Commonwealth Scientific &amp; Industrial Research Organisation (CSIRO)</t>
  </si>
  <si>
    <t>Sloyan, BM (corresponding author), NOAA, PMEL OCRD, Bldg 3,7600 Sand Point Way NE, Seattle, WA 98115 USA.</t>
  </si>
  <si>
    <t>Sloyan, Bernadette/N-8989-2014; Rintoul, Stephen R/A-1471-2012</t>
  </si>
  <si>
    <t>Sloyan, Bernadette/0000-0003-0250-0167; Rintoul, Stephen R/0000-0002-7055-9876</t>
  </si>
  <si>
    <t>10.1175/1520-0485(2001)031&lt;1005:CRAMOA&gt;2.0.CO;2</t>
  </si>
  <si>
    <t>WOS:000167990800010</t>
  </si>
  <si>
    <t>McDougall, TJ; McIntosh, PC</t>
  </si>
  <si>
    <t>The temporal-residual-mean velocity. Part II: Isopycnal interpretation and the tracer and momentum equations</t>
  </si>
  <si>
    <t>OCEAN CIRCULATION MODELS; EDDY-INDUCED ADVECTION; POTENTIAL VORTICITY; INDUCED TRANSPORT; MESOSCALE EDDIES; PARAMETERIZATION; FLUXES; THICKNESS; WAVES; FLOW</t>
  </si>
  <si>
    <t>Mesoscale eddies mix fluid parcels in a way that is highly constrained by the stratified nature of the fluid. The temporal-residual-mean (TRM) theory provides the link between the different views that are apparent from temporally averaging these turbulent flow fields in height coordinates and in density coordinates. Here the original TRM theory is modified so that it applies to unsteady flows. This requires a modification not only to the streamfunction (and hence the velocity vector) but also a specific interpretation of the density field; it is not the Eulerian-mean density. The TRM theory reduces the problem of parameterizing the eddy flux from three dimensions to two dimensions. The three-dimensional TRM velocity is shown to be the same as is obtained by averaging with respect to instantaneous density surfaces and the averaged conservation equations in height coordinates and in density coordinates are the same except for a nondivergent flux that is identified and explained. The TRM theory demonstrates that the tracers (such as salinity and potential temperature) that are carried by an eddyless ocean model must be interpreted as the thickness-weighted tracers that result from averaging in density coordinates. The extra streamfunction of the temporal-residual-mean flow, termed the quasi-Stokes streamfunction, has a simple interpretation that proves valuable in developing plausible boundary conditions for this streamfunction: at any height z, the quasi-Stokes streamfunction is the contribution of temporal perturbations to the horizontal transport of water that is more dense than the density of the surface having time-mean height z. Importantly, the extra three-dimensional velocity derived from the quasi-Stokes streamfunction is not the bolus transport that arises when averaging in density coordinates. Therefore the Gent and McWilliams eddy parameterization scheme is not a parameterization of the bolus velocity but rather of the quasi-Stokes velocity of the temporal-residual-mean circulation. The physical interpretation of the quasi-Stokes streamfunction implies that it must be tapered smoothly to zero at the top and bottom of the ocean rather than having delta functions of velocity against these boundaries. The common assumption of downgradient flux of potential vorticity along isopycnals is discussed and it is shown that this does not sufficiently constrain the three-dimensional quasi-Stokes advection because only the vertical derivative of the quasi-Stokes streamfunction is specified. Near-boundary uncertainty in the potential vorticity fluxes translates into uncertainty in the depth-averaged heat flux. The horizontal TRM momentum equation is derived and leads to an alternative method for including the effects of eddies in eddyless models.</t>
  </si>
  <si>
    <t>CSIRO, Div Marine Res, Hobart, Tas, Australia; Univ Tasmania, Antarctic CRC, Hobart, Tas, Australia</t>
  </si>
  <si>
    <t>Commonwealth Scientific &amp; Industrial Research Organisation (CSIRO); University of Tasmania</t>
  </si>
  <si>
    <t>McDougall, TJ (corresponding author), CSIRO, Div Marine Res, GPO 1538, Hobart, Tas, Australia.</t>
  </si>
  <si>
    <t>Trevor.McDougall@marine.csiro.au</t>
  </si>
  <si>
    <t>McIntosh, Peter C/F-7594-2012; McDougall, Trevor J/A-6770-2013</t>
  </si>
  <si>
    <t>10.1175/1520-0485(2001)031&lt;1222:TTRMVP&gt;2.0.CO;2</t>
  </si>
  <si>
    <t>427UD</t>
  </si>
  <si>
    <t>WOS:000168423100004</t>
  </si>
  <si>
    <t>MacCready, P; Rhines, PB</t>
  </si>
  <si>
    <t>Meridional transport across a zonal channel: Topographic localization</t>
  </si>
  <si>
    <t>ANTARCTIC CIRCUMPOLAR CURRENT; SOUTHERN-OCEAN; POTENTIAL VORTICITY; MOMENTUM BALANCE; MEAN FLOW; MODEL; CIRCULATION; DYNAMICS; EDDIES; JETS</t>
  </si>
  <si>
    <t>Experiments are performed using a two-layer isopycnic numerical model in a zonal channel with a large meridional topographic ridge in the lower layer. The model is forced only by a steady meridional volume transport in the upper layer, and develops a current structure similar to the Antarctic Circumpolar Current. Meridional volume flux across time-mean geostrophic streamlines is found to be due to a combination of the geostrophic eddy bolus flux and the lateral Reynolds stress. The proportion of each depends on the strength of the forcing. The Reynolds stress increases with the forcing, while the bolus flux is relatively constant. Topography localizes the eddy fluxes at and downstream of the topography, where eddy energies are greatest. The strength of the zonal transport is governed by the onset of baroclinic instability and so is relatively insensitive to the strength of the meridional transport.</t>
  </si>
  <si>
    <t>Univ Washington, Sch Oceanog, Seattle, WA 98195 USA</t>
  </si>
  <si>
    <t>University of Washington; University of Washington Seattle</t>
  </si>
  <si>
    <t>Univ Washington, Sch Oceanog, Box 357940, Seattle, WA 98195 USA.</t>
  </si>
  <si>
    <t>parker@ocean.washington.edu</t>
  </si>
  <si>
    <t>10.1175/1520-0485(2001)031&lt;1427:MTAAZC&gt;2.0.CO;2</t>
  </si>
  <si>
    <t>443UR</t>
  </si>
  <si>
    <t>WOS:000169360500003</t>
  </si>
  <si>
    <t>Sandoval, FJ; Weatherly, GL</t>
  </si>
  <si>
    <t>Evolution of the deep western boundary current of Antarctic Bottom Water in the Brazil Basin</t>
  </si>
  <si>
    <t>SOUTH-ATLANTIC-OCEAN; FRACTURE-ZONES; CIRCULATION; EQUATOR; FLOW; TRANSPORT; MASSES; VARIABILITY; ROMANCHE</t>
  </si>
  <si>
    <t>A synthesis of WOCE (and other) hydrographic data shows that the deep western boundary current of Antarctic Bottom Water has a double-core structure, and that it is differentially modified during its northward transit through the Brazil Basin. At 25 degreesS, it descends about 200 m while continuing equatorward as a paired, double-core current over the relatively broad, sloping topography of the western region. The downslope core is faster, 4-6 cm s(-1) versus 3 cm s(-1), and is coincident with the high-density core. Equatorward of 19 degreesS the cores begin to diverge and by 15 degreesS, the velocity cores have separated and the high-speed pattern has inverted. Between 13 degrees and 11 degreesS the colder, slower-flowing branch (around 3 cm s(-1)) deepens by 350 m, with a noticeable decrease in the vertical stratification of overlying water characteristics. Subsequently, it continues to the equator toward the Romanche-Chain Fracture Zones. The warmer, faster-flowing branch (around 8 cm s(-1)) proceeds to the equator along the continental slope, eventually becoming the flow entering the equatorial channel.</t>
  </si>
  <si>
    <t>Florida State Univ, Dept Oceanog, Tallahassee, FL 32306 USA</t>
  </si>
  <si>
    <t>State University System of Florida; Florida State University</t>
  </si>
  <si>
    <t>Sandoval, FJ (corresponding author), Florida State Univ, Dept Oceanog, Tallahassee, FL 32306 USA.</t>
  </si>
  <si>
    <t>10.1175/1520-0485(2001)031&lt;1440:EOTDWB&gt;2.0.CO;2</t>
  </si>
  <si>
    <t>WOS:000169360500004</t>
  </si>
  <si>
    <t>Goodman, PJ</t>
  </si>
  <si>
    <t>Thermohaline adjustment and advection in an OGCM</t>
  </si>
  <si>
    <t>ATLANTIC DEEP-WATER; GENERAL-CIRCULATION MODELS; NORTH-ATLANTIC; HEAT-TRANSPORT; SOUTH-ATLANTIC; PARAMETER SENSITIVITY; DECADAL VARIABILITY; LAST DEGLACIATION; OCEAN CIRCULATION; CLIMATE RECORDS</t>
  </si>
  <si>
    <t>The response of an ocean general circulation model to the onset of deep-water formation in the North Atlantic Ocean is explored. The processes of baroclinic adjustment to the new deep water mass and the advection of the new deep water mass are compared in both space and time. The baroclinic adjustment is gauged by following the anomalies in the 0-2000 dbar layer thickness and the advection is measured with the aid of idealized passive tracers. Baroclinic adjustment follows the classical boundary layer path and all locations north of the Antarctic Circumpolar Current begin to feel the effects within 20 years. Heat transport in the North Atlantic responds on the adjustment timescale. Advection does not follow the boundary layer path and is much slower: the timescale for NADW to reach the North Pacific Ocean is on the order of 1000 years. While the baroclinic signal is much faster, the initial response is much smaller and probably could not be detected over the random noise in the pressure field outside of the Atlantic basin. Both processes weaken as they move farther from the forcing region.</t>
  </si>
  <si>
    <t>Univ Washington, Dept Atmospher Sci, Joint Inst Study Atmosphere &amp; Oceans, Seattle, WA 98195 USA</t>
  </si>
  <si>
    <t>Goodman, PJ (corresponding author), Lamont Doherty Earth Observ, Oceanog Bldg,Rm 104C,61 Rte 9W, Palisades, NY 10964 USA.</t>
  </si>
  <si>
    <t>Goodman, Paul/0000-0002-1824-5845</t>
  </si>
  <si>
    <t>10.1175/1520-0485(2001)031&lt;1477:TAAAIA&gt;2.0.CO;2</t>
  </si>
  <si>
    <t>WOS:000169360500006</t>
  </si>
  <si>
    <t>Benilov, ES</t>
  </si>
  <si>
    <t>Baroclinic instability of two-layer flows over one-dimensional bottom topography</t>
  </si>
  <si>
    <t>ROSSBY WAVES; BETA-PLANE; EVOLUTION</t>
  </si>
  <si>
    <t>Using the QG approximation, the stability of two-layer zonal flows on the beta plane over bottom topography is examined. The topography is assumed to be one-dimensional, with the isobaths being directed at a fixed angle to the streamlines of the flow. The horizontal spatial scale of bottom irregularities is assumed to be much shorter than the deformation radius. The dispersion relation for the growth rate of baroclinic instability is determined, the analysis of which demonstrated the following: 1) The effect of topography is the strongest when the isobaths are parallel to the wavevector of the disturbance. If the isobaths are perpendicular to the wavevector, the topography does not affect the disturbance at all. 2) Topography weakens baroclinic instability and shifts the range of unstable disturbances toward the shortwave end of the spectrum. 3) The effect of bottom topography on flows localized in a thin upper layer is relatively weak. Flows with a thick'' active layer are affected to a greater extent: for the Antarctic Circumpolar Current, for example, bottom irregularities of mean height 200 m may diminish the growth rate of baroclinic instability by a factor of 4.</t>
  </si>
  <si>
    <t>Univ Limerick, Dept Math, Limerick, Ireland</t>
  </si>
  <si>
    <t>University of Limerick</t>
  </si>
  <si>
    <t>Univ Limerick, Dept Math, Limerick, Ireland.</t>
  </si>
  <si>
    <t>eugene.benilov@ul.ie</t>
  </si>
  <si>
    <t>Benilov, Eugene/O-7636-2014</t>
  </si>
  <si>
    <t>Benilov, Eugene/0000-0002-5895-9746</t>
  </si>
  <si>
    <t>10.1175/1520-0485(2001)031&lt;2019:BIOTLF&gt;2.0.CO;2</t>
  </si>
  <si>
    <t>461ZR</t>
  </si>
  <si>
    <t>WOS:000170394200004</t>
  </si>
  <si>
    <t>Garabato, ACN; Allen, JT; Leach, H; Strass, VH; Pollard, RT</t>
  </si>
  <si>
    <t>Mesoscale subduction at the Antarctic Polar Front driven by baroclinic instability</t>
  </si>
  <si>
    <t>SYNOPTIC HYDROGRAPHIC OBSERVATIONS; SEMI-GEOSTROPHIC EQUATIONS; GENERAL-CIRCULATION MODEL; OCEAN MOMENTUM BALANCE; SOUTHERN-OCEAN; CIRCUMPOLAR CURRENT; WATER MASSES; VERTICAL MOTION; OMEGA-EQUATION; KINETIC-ENERGY</t>
  </si>
  <si>
    <t>A study of mesoscale subduction at the Antarctic Polar Front (PF) is conducted by use of hydrographic data from a high-resolution, quasi-synoptic survey of the front. The geostrophic velocity and isopycnal potential vorticity (PV) fields are computed, and the ageostrophic flow diagnosed from the semigeostrophic omega equation. It is found that the ageostrophic circulation induced by baroclinic instability counteracts the frontogenesis and frontolysis effected by the confluence and difluence, respectively, of the geostrophic velocity field. Though the sense of the ageostrophic circulation is reversed repeatedly along the front, the existence of PV gradients along isopycnals leads to a net cross-front bolus'' transport. In response to a reversal of this gradient with depth (a necessary condition for the onset of baroclinic instability), the bolus transport is northward at the protruding temperature minimum layer that characterizes the PF, and southward above. This net cross-front overturning circulation acts to flatten the isopycnals of the front and results in a subduction of the temperature minimum layer as it progresses northward along isopycnals. Consistently, a net baroclinic conversion rate of approximately 1 cm(2) s(-2) d(-1), corresponding to a net subduction rate of O(20 m yr(-1)), is calculated in the survey area. The similarity between the PV field of the PF and other Southern Ocean fronts suggests that the authors' results may also be applicable there. This has profound implications for the understanding of the zonation of the Antarctic Circumpolar Current.</t>
  </si>
  <si>
    <t>Univ Liverpool, Oceanog Labs, Liverpool L69 3BX, Merseyside, England; Southampton Oceanog Ctr, George Deacon Div, Southampton, Hants, England; Alfred Wegener Inst Polar &amp; Marine Res, D-2850 Bremerhaven, Germany</t>
  </si>
  <si>
    <t>University of Liverpool; University of Southampton; NERC National Oceanography Centre; Helmholtz Association; Alfred Wegener Institute, Helmholtz Centre for Polar &amp; Marine Research</t>
  </si>
  <si>
    <t>Garabato, ACN (corresponding author), Univ E Anglia, Sch Environm Sci, Norwich NR4 7TJ, Norfolk, England.</t>
  </si>
  <si>
    <t>Garabato, Alberto Naveira/AAQ-1114-2020</t>
  </si>
  <si>
    <t>Garabato, Alberto Naveira/0000-0001-6071-605X; Leach, Harry/0000-0003-1774-5167; Strass, Volker/0000-0002-7539-1400</t>
  </si>
  <si>
    <t>10.1175/1520-0485(2001)031&lt;2087:MSATAP&gt;2.0.CO;2</t>
  </si>
  <si>
    <t>WOS:000170394200008</t>
  </si>
  <si>
    <t>Meredith, MP; Garabato, ACN; Stevens, DP; Heywood, KJ; Sanders, RJ</t>
  </si>
  <si>
    <t>Deep and bottom waters in the eastern Scotia Sea: Rapid changes in properties and circulation</t>
  </si>
  <si>
    <t>WEDDELL SEA; SOUTH-ATLANTIC; DRAKE PASSAGE; MASSES; STRATIFICATION; FRONTS; FLOW; GYRE</t>
  </si>
  <si>
    <t>Two meridional hydrographic transects (in 1995 and 1999) across the eastern Scotia Sea are used to investigate variability in the deep and bottom waters between the South Scotia Ridge and South Georgia. There is a significant warming of the warm deep water (WDW) south of the southern boundary of the Antarctic Circumpolar Current (ACC); waters are approximately 0.1 degrees -0.2 degreesC warmer in 1999 than 1995. This is due mainly to raised WDW potential temperatures in the Weddell Sea being fed through to the Scotia Sea as the WDW flows northeastward in the Weddell Gyre. There is a warming of the Weddell Sea Deep Water (WSDW) of approximately 0.05 degreesC across the whole extent of the section, and an accompanying change in salinity that maintains the potential temperature-salinity relationship. This is caused by variability in the properties of the water overflowing the South Scotia Ridge, rather than enhanced outflow of the bottom layer of the Scotia Sea or movements of the ACC fronts, and may be related to changes in the intensity of the Weddell Gyre circulation. Consideration of other works suggests that the colder WSDW of 1995 is likely to be the anomalous case, rather than the warmer WSDW of 1999. The 1999 section reveals an inflow of Lower WSDW from east of the South Sandwich Arc via the Georgia Passage; this is constrained to the south of the southern boundary, and is not apparent in the 1995 measurements. Meanders in the southern boundary at Georgia Passage are likely to play a role in controlling the inflow of Lower WSDW, although changes in the peak density of the WSDW flowing across the South Scotia Ridge may be important also, with a denser inflow from the south acting to preclude an inflow of similar density from the northeast.</t>
  </si>
  <si>
    <t>Univ E Anglia, Sch Environm Sci, Norwich NR4 7TJ, Norfolk, England; Univ E Anglia, Sch Math, Norwich NR4 7TJ, Norfolk, England</t>
  </si>
  <si>
    <t>University of East Anglia; University of East Anglia</t>
  </si>
  <si>
    <t>Meredith, MP (corresponding author), British Antarctic Survey, High Cross Madingley Rd, Cambridge CB3 0ET, England.</t>
  </si>
  <si>
    <t>Sanders, Richard J/B-8717-2012; Garabato, Alberto Naveira/AAQ-1114-2020; Stevens, David/F-2509-2010; Heywood, Karen/L-1757-2016</t>
  </si>
  <si>
    <t>Sanders, Richard J/0000-0002-6884-7131; Garabato, Alberto Naveira/0000-0001-6071-605X; Stevens, David/0000-0002-7283-4405; Heywood, Karen/0000-0001-9859-0026; Meredith, Michael/0000-0002-7342-7756</t>
  </si>
  <si>
    <t>10.1175/1520-0485(2001)031&lt;2157:DABWIT&gt;2.0.CO;2</t>
  </si>
  <si>
    <t>Bronze, Green Accepted, Green Submitted</t>
  </si>
  <si>
    <t>WOS:000170394200011</t>
  </si>
  <si>
    <t>Watts, DR; Sun, C; Rintoul, S</t>
  </si>
  <si>
    <t>A two-dimensional gravest empirical mode determined from hydrographic observations in the subantarctic front</t>
  </si>
  <si>
    <t>NORTH-ATLANTIC; GEOSTROPHIC VELOCITY; PROFILES; ANTARCTICA; TASMANIA; MOTION; SPEED; SOUND</t>
  </si>
  <si>
    <t>South of Australia, where the baroclinicity in the Subantarctic Front extends almost to the seafloor, the geopotential height of the sea surface (phi) and the vertical acoustic travel time (tau) exhibit a tight empirical relationship to each other and to the entire vertical structure of temperature T(p), salinity S(p), and specific volume anomaly delta (p). Measurements of tau provide proxy estimates of the profiles T-G (tau ,p), S-G(tau ,p), and delta (G)(tau ,p), based on a two-dimensional gravest empirical mode'' (GEM) representation of the vertical structure fitted to 212 hydrographic stations. A seasonal model was fitted in the near-surface layers using additional historical data. At each depth in the range 150-3000 dbar, more than 96% of the variance in both the T and delta fields is captured by the GEM representation. During the Subantarctic Flux and Dynamics Experiment (Mar 1995-Mar 1997), inverted echo sounders (IES) and current meters were moored in a 2D array along the WOCE SR3 transect south of Australia. At each IES site, proxy-estimated T( p) time series were compared with independent moored temperature records, confirming agreement within 0.29 degrees, 0.26 degrees, 0.10 degrees, and 0.04 degreesC rms differences at depths 300, 600, 1000, and 2000 dbar. Between laterally separated IES sites, geostrophic velocity profiles estimated from horizontal gradients in f( p) agree with moored current records within 0.07, 0.05, and 0.03 m s(-1) at 300, 600, and 1000 dbar relative to 2000 dbar. A simple argument based on conservation of potential vorticity is suggested to account for GEM dominance of the spatiotemporal variability.</t>
  </si>
  <si>
    <t>Univ Rhode Isl, Grad Sch Oceanog, Narragansett, RI 02882 USA; Antarctic CRC, Hobart, Tas, Australia; CSIRO Marine Res, Hobart, Tas, Australia</t>
  </si>
  <si>
    <t>University of Rhode Island; Commonwealth Scientific &amp; Industrial Research Organisation (CSIRO)</t>
  </si>
  <si>
    <t>Watts, DR (corresponding author), Univ Rhode Isl, Grad Sch Oceanog, 215 S Ferry Rd, Narragansett, RI 02882 USA.</t>
  </si>
  <si>
    <t>Rintoul, Stephen R/A-1471-2012</t>
  </si>
  <si>
    <t>Rintoul, Stephen R/0000-0002-7055-9876; Watts, D Randolph/0000-0002-6738-5916</t>
  </si>
  <si>
    <t>10.1175/1520-0485(2001)031&lt;2186:ATDGEM&gt;2.0.CO;2</t>
  </si>
  <si>
    <t>WOS:000170394200014</t>
  </si>
  <si>
    <t>Murray, RJ; Reason, CJC</t>
  </si>
  <si>
    <t>A curvilinear ocean model using a grid regionally compressed in the South Indian Ocean</t>
  </si>
  <si>
    <t>GENERAL-CIRCULATION MODEL; WORLD OCEAN; PART I; PARAMETERIZATIONS; EQUILIBRIUM; SENSITIVITY; TEMPERATURE; SALINITY; FLUX; GCM</t>
  </si>
  <si>
    <t>It is shown that a global curvilinear grid with variable resolution is an efficient way of providing a high density of grid points in a particular region. In equilibrium experiments using asynchronous time steps, this type of grid has been found to allow a better representation of smaller-scale features in the high-resolution region while maintaining contact with the rest of the World Ocean, provided that lateral mixing coefficients be scaled with grid size so as to maintain marginal numerical stability. In this study, the region of interest is the southern Indian Ocean and, in particular, that of the South Indian Ocean Current. In all experiments, decreased viscosities and diffusivities generally led to increased currents and tracer gradients. In horizontal mixing simulations, maximum current speeds in the frontal region were mainly determined by local (i.e., high-resolution region) viscosities, while maximum temperature gradients were determined by local values of both lateral viscosity and diffusivity. With eddy-induced transport experiments, maximum values were analyzed on isopycnal surfaces. Isopycnal diffusivities were found to control tracer gradients on isopycnals but not isopycnal slopes, while thickness diffusivities controlled isopycnal slopes but only to a small degree tracer gradients. Changes to mixing coefficients in the coarse part of the grid had hardly any influence on the frontal properties examined, although they did affect currents in the Indian Ocean to some extent via their control on size of the Antarctic Circumpolar Current and the Pacific-Indian Throughflow.</t>
  </si>
  <si>
    <t>Univ Melbourne, Sch Earth Sci, Parkville, Vic 3010, Australia; Univ Melbourne, Sch Earth Sci, Melbourne, Vic, Australia; Univ Cape Town, EGS Oceanog Dept, ZA-7925 Cape Town, South Africa</t>
  </si>
  <si>
    <t>University of Melbourne; University of Melbourne; Melbourne Bioinformatics; University of Cape Town</t>
  </si>
  <si>
    <t>Murray, RJ (corresponding author), Univ Melbourne, Sch Earth Sci, Parkville, Vic 3010, Australia.</t>
  </si>
  <si>
    <t>10.1175/1520-0485(2001)031&lt;2809:ACOMUA&gt;2.0.CO;2</t>
  </si>
  <si>
    <t>478LB</t>
  </si>
  <si>
    <t>WOS:000171346700001</t>
  </si>
  <si>
    <t>Hughes, CW; de Cuevas, BA</t>
  </si>
  <si>
    <t>Why western boundary currents in realistic oceans are inviscid: A link between form stress and bottom pressure torques</t>
  </si>
  <si>
    <t>ANTARCTIC CIRCUMPOLAR CURRENT; GENERAL-CIRCULATION MODEL; WIND-DRIVEN CIRCULATION; BETA-PLANE CHANNEL; OBSCURANTIST PHYSICS; CONTINENTAL-SLOPE; SOUTHERN-OCEAN; STRATIFIED OCEAN; MOMENTUM BALANCE; SPIN-UP</t>
  </si>
  <si>
    <t>It is shown that wind stress curl is balanced by bottom pressure torque in a zonal integral over any strip wide enough to smooth out the effect of nonlinear terms (typically about 3 degrees of latitude). The derivation is completely general as long as the zonal wind stress is balanced by form stress at each latitude, as is known to be the case in the ocean. This implies that viscous torques are not important in western boundary currents, their place being taken by bottom pressure torques. The prediction is confirmed in the context of a global, eddy-permitting, numerical ocean model. This link between form stress and bottom pressure torques makes it easier to consider Southern Ocean dynamics and subtropical gyre dynamics in the same conceptual framework, with topographic interactions being important in both cases.</t>
  </si>
  <si>
    <t>Bidston Observ, Proudman Oceanog Lab, Prenton CH43 7RA, England; Southampton Oceanog Ctr, Southampton, Hants, England</t>
  </si>
  <si>
    <t>NERC National Oceanography Centre; NERC National Oceanography Centre; University of Southampton</t>
  </si>
  <si>
    <t>Bidston Observ, Proudman Oceanog Lab, Bidston Hill, Prenton CH43 7RA, England.</t>
  </si>
  <si>
    <t>cwh@pol.ac.uk</t>
  </si>
  <si>
    <t>Hughes, Chris W/A-3791-2010; Hughes, Chris/GQP-7479-2022</t>
  </si>
  <si>
    <t>Hughes, Chris W/0000-0002-9355-0233;</t>
  </si>
  <si>
    <t>10.1175/1520-0485(2001)031&lt;2871:WWBCIR&gt;2.0.CO;2</t>
  </si>
  <si>
    <t>WOS:000171346700005</t>
  </si>
  <si>
    <t>Tansley, CE; Marshall, DP</t>
  </si>
  <si>
    <t>On the dynamics of wind-driven circumpolar currents</t>
  </si>
  <si>
    <t>BETA-PLANE CHANNEL; OBSCURANTIST PHYSICS; SOUTHERN-OCEAN; FORM DRAG; BOTTOM TOPOGRAPHY; MOMENTUM BALANCE; MODEL; CIRCULATION; FLOW; EDDIES</t>
  </si>
  <si>
    <t>The factors controlling the transport of the Antarctic Circumpolar Current (ACC) have recently been a topic of heated debate. At the latitudes of Drake Passage, potential vorticity contours are uninterrupted by coastlines, and large amplitude flows are possible even with weak forcing and dissipation. The relationship between the dynamics of circumpolar currents and inertial recirculations in closed basins is discussed. In previous studies, Sverdrup balance and baroclinic adjustment theories have both been proposed as theories of the ACC transport. These theories predict the circumpolar transport as various simple functions of the surface wind stress. A series of experiments is performed with a simple channel model, with different wind strengths and different idealized basin geometries, to investigate the relationship between wind strength and circumpolar transport. The results show that baroclinic adjustment theories do predict transport in the special case of a periodic channel with no topographic variations, or when the wind forcing is very weak. More generally, the transport is determined by a complex interplay between wind forcing, eddy fluxes, and topographic effects. There is no support for the idea that Sverdrup balance determines the transport through Drake Passage.</t>
  </si>
  <si>
    <t>Univ Reading, Dept Meteorol, Reading RG6 6BB, Berks, England</t>
  </si>
  <si>
    <t>University of Reading</t>
  </si>
  <si>
    <t>Marshall, DP (corresponding author), Univ Reading, Dept Meteorol, Earley Gate,POB 243, Reading RG6 6BB, Berks, England.</t>
  </si>
  <si>
    <t>Marshall, David Philip/B-6767-2009</t>
  </si>
  <si>
    <t>Marshall, David Philip/0000-0002-5199-6579</t>
  </si>
  <si>
    <t>10.1175/1520-0485(2001)031&lt;3258:OTDOWD&gt;2.0.CO;2</t>
  </si>
  <si>
    <t>487NK</t>
  </si>
  <si>
    <t>WOS:000171881400009</t>
  </si>
  <si>
    <t>Flow past a cylinder on a β plane, with application to Gulf Stream separation and the Antarctic Circumpolar Current</t>
  </si>
  <si>
    <t>CIRCULAR-CYLINDER; ROTATING-FRAME</t>
  </si>
  <si>
    <t>The classical problem of flow past a cylinder is revisited in the context of understanding two oceanographic phenomena: separation of the Gulf Stream from the North American coastline at Cape Hatteras and the interaction of the Antarctic Circumpolar Current with topographic obstacles. Numerical solutions are presented for eastward, barotropic flow past a cylinder in a beta -plane channel. The solutions are dependent on two nondimensional parameters: the Reynolds number, Re, and a nondimensional beta parameter,&lt;()over cap&gt;. In line with previous studies, increasing &lt;()over cap&gt;reduces the separation downstream of the cylinder but introduces a blocked stagnant region upstream of the cylinder, flanked by two inertial jets. The large &lt;()over cap&gt; limit is relevant to the interaction of the Antarctic Circumpolar Current with topographic obstacles such as the Kerguelen Plateau. However, a new regime is obtained for high Reynolds number (Re. 200) and moderate beta parameter (&lt;()over cap&gt; similar to 10-100) with two separated jets downstream of the cylinder. These jets can extend a considerable distance, maintained by breaking Rossby waves in the turbulent wake of the cylinder, within which there is a downscale cascade of vorticity and an upscale cascade of energy toward the Rhines scale. Through a series of numerical experiments, the authors demonstrate the relevance of this regime to the separation of a boundary current from a cape. The implications are that Gulf Stream separation at Cape Hatteras is the consequence of both the high Reynolds number in the ocean and the moderate beta parameter associated with the curvature of the coastline at Cape Hatteras. Results also suggest that geostrophic eddy fluxes are essential in maintaining a tight separated jet.</t>
  </si>
  <si>
    <t>Marshall, DP (corresponding author), Univ Reading, Dept Meteorol, POB 243, Reading RG6 6BB, Berks, England.</t>
  </si>
  <si>
    <t>10.1175/1520-0485(2001)031&lt;3274:FPACOA&gt;2.0.CO;2</t>
  </si>
  <si>
    <t>WOS:000171881400010</t>
  </si>
  <si>
    <t>Sorensen, JVT; Ribbe, J; Shaffer, G</t>
  </si>
  <si>
    <t>Antarctic intermediate water mass formation in ocean general circulation models</t>
  </si>
  <si>
    <t>WORLD OCEAN; SENSITIVITY; CONVECTION; RESOLUTION; EXCHANGE; TRACERS</t>
  </si>
  <si>
    <t>Antarctic Intermediate Water is formed at the high midlatitudes of the Southern Ocean. In many ocean general circulation model simulations with coarse resolution and a z coordinate, a middepth salinity minimum characteristic of this intermediate water is reproduced. However, for the real ocean it remains unclear which are the dominant processes in the formation of this water mass and which are the source regions for contributing surface waters. To elucidate such processes and quantify intermediate water formation rates, two experiments with an ocean general circulation model were conducted. In one experiment, the traditional parameterization of horizontal and vertical mixing was applied, while the second model included the Gent-McWilliams parameterization for an eddy-induced transport velocity. In the latter application, the production and meridional export of intermediate water was found to be larger than in the first experiment. Furthermore, midlatitude convective mixing, which had been argued to be the main intermediate water mass formation mechanism, was found to be not as important as in previous model results. Passive tracer experiments indicated that diapycnal mixing and circumpolar subduction might also play important roles as water mass formation processes in this particular ocean circulation model.</t>
  </si>
  <si>
    <t>DHI Water &amp; Environm, Horsholm, Denmark; Univ Concepcion, Program Reg Studies Phys Oceanog &amp; Climate, Concepcion, Chile; Univ Copenhagen, Danish Ctr Earth Syst Sci, Copenhagen, Denmark</t>
  </si>
  <si>
    <t>Danish Hydraulic Institute (DHI); Universidad de Concepcion; University of Copenhagen</t>
  </si>
  <si>
    <t>Univ So Queensland, Dept Biol &amp; Phys Sci, Toowoomba, Qld 4350, Australia.</t>
  </si>
  <si>
    <t>Joachim.Ribbe@usq.edu.au</t>
  </si>
  <si>
    <t>Shaffer, Gary/G-1742-2016</t>
  </si>
  <si>
    <t>Shaffer, Gary/0000-0002-2494-3471; Ribbe, Joachim/0000-0001-6749-1228</t>
  </si>
  <si>
    <t>10.1175/1520-0485(2001)031&lt;3295:AIWMFI&gt;2.0.CO;2</t>
  </si>
  <si>
    <t>WOS:000171881400012</t>
  </si>
  <si>
    <t>Hallberg, R; Gnanadesikan, A</t>
  </si>
  <si>
    <t>An exploration of the role of transient eddies in determining the transport of a zonally reentrant current</t>
  </si>
  <si>
    <t>ANTARCTIC CIRCUMPOLAR CURRENT; OCEAN CIRCULATION MODELS; BETA-PLANE CHANNEL; LINEAR HOMOGENEOUS MODEL; SOUTHERN-OCEAN; WIND-DRIVEN; MOMENTUM BALANCE; DRAKE PASSAGE; THERMOHALINE CIRCULATION; EDDY TRANSFER</t>
  </si>
  <si>
    <t>The meridional Ekman transport in a zonally reentrant channel may be balanced by diabatic circulations, standing eddies associated with topography, or by Lagrangian mean eddy mass fluxes. A simple model is used to explore the interaction between these mechanisms. A key assumption of this study is that diabatic forcing in the poleward edge of the channel acts to create lighter fluid, as is the case with net freshwater fluxes into the Southern Ocean. For weak wind forcing or strong diabatic constraint, a simple scaling argument accurately predicts the level of baroclinic shear. However, given our understanding of the relative magnitudes of Ekman flux and deep upwelling, this is not the appropriate parameter range for the Antarctic Circumpolar Current. With stronger wind stresses, eddies are prominent, with baroclinic instability initially developing in the vicinity of large topography. Arguments have been advanced by a number of authors that baroclinic instability should limit the velocity shear, leading to a stiff upper limit on the transport of the current. However, in the simulations presented here baroclinic instability is largely confined to the region of topographic highs, and the approach to a current that is independent of the wind stress occurs gradually. Several recent parameterizations of transient eddy fluxes do not reproduce key features of the observed behavior.</t>
  </si>
  <si>
    <t>NOAA, Geophys Fluid Dynam Lab, Princeton, NJ 08542 USA; Princeton Univ, Atmospher &amp; Ocean Sci Program, Princeton, NJ 08544 USA</t>
  </si>
  <si>
    <t>National Oceanic Atmospheric Admin (NOAA) - USA; Princeton University; National Oceanic Atmospheric Admin (NOAA) - USA</t>
  </si>
  <si>
    <t>NOAA, Geophys Fluid Dynam Lab, POB 308, Princeton, NJ 08542 USA.</t>
  </si>
  <si>
    <t>rwh@gfdl.gov</t>
  </si>
  <si>
    <t>Gnanadesikan, Anand/A-2397-2008</t>
  </si>
  <si>
    <t>Gnanadesikan, Anand/0000-0001-5784-1116</t>
  </si>
  <si>
    <t>10.1175/1520-0485(2001)031&lt;3312:AEOTRO&gt;2.0.CO;2</t>
  </si>
  <si>
    <t>WOS:000171881400013</t>
  </si>
  <si>
    <t>Morris, MY; Hall, MM; St Laurent, LC; Hogg, NG</t>
  </si>
  <si>
    <t>Abyssal mixing in the Brazil Basin</t>
  </si>
  <si>
    <t>ANTARCTIC BOTTOM WATER; SOUTH-ATLANTIC-OCEAN; NORTH-ATLANTIC; CIRCULATION; VARIABILITY; TOPOGRAPHY; BOUNDARY; CHANNEL; MASSES; FLUX</t>
  </si>
  <si>
    <t>One of the major objectives of the Deep Basin Experiment, a component of the World Ocean Circulation Experiment, was to quantify the intensity and spatial distribution of deep vertical mixing within the Brazil Basin. In this study, basin-averaged estimates of deep vertical mixing rates are calculated using two independent methodologies and datasets: 1) vertical fluxes are derived from large-scale temperature and density budgets using direct measurements of deep flow through passages connecting the Brazil Basin to surrounding basins and a comprehensive hydrographic dataset within the basin interior and 2) vertical mixing rates are estimated from finescale bathymetry and hydrographic data using a functional relationship between turbulent dissipation and bathymetric roughness, deduced from localized measurements of ocean microstructure obtained during the Deep Basin Experiment. The space-time mean estimates of vertical mixing diffusivities across representative surfaces within the Antarctic Bottom Water layer fell in the range &lt;()over bar&gt; similar to 1- 5(x 10(-4) m(2) s(-1)) and were indistinguishable k from each other within the estimation uncertainties. The mixing rates inferred from potential temperature budgets update, and are consistent with, earlier estimates that were based on less data. Mixing rates inferred from budgets bounded by neutral surfaces are not significantly different from the former. This implies that lateral eddy fluxes along isopycnals are not important in the potential temperature budgets, at least within the large estimation uncertainties. Unresolved processes, such as cabbeling and low frequency variability, which complicate inference of mixing from large-scale budgets, have been considered. The agreement between diffusivity estimates based on a modeled relationship between bathymetric roughness and turbulent dissipation, with those inferred from large-scale budgets, provides independent confirmation that the mixing rates have been accurately quantified.</t>
  </si>
  <si>
    <t>Woods Hole Oceanog Inst, Woods Hole, MA 02543 USA; Natl Inst Water &amp; Atmospher Res, Wellington, New Zealand</t>
  </si>
  <si>
    <t>Woods Hole Oceanographic Institution; National Institute of Water &amp; Atmospheric Research (NIWA) - New Zealand</t>
  </si>
  <si>
    <t>Hall, MM (corresponding author), Woods Hole Oceanog Inst, Mail Stop 21, Woods Hole, MA 02543 USA.</t>
  </si>
  <si>
    <t>10.1175/1520-0485(2001)031&lt;3331:AMITBB&gt;2.0.CO;2</t>
  </si>
  <si>
    <t>WOS:000171881400014</t>
  </si>
  <si>
    <t>Scasso, RA; Kiessling, W</t>
  </si>
  <si>
    <t>Diagenesis of Upper Jurassic concretions from the Antarctic Peninsula</t>
  </si>
  <si>
    <t>JOURNAL OF SEDIMENTARY RESEARCH</t>
  </si>
  <si>
    <t>EASTERN EQUATORIAL ATLANTIC; JAMES-ROSS-ISLAND; CARBONATE CONCRETIONS; CALCITE CONCRETIONS; ISOTOPE GEOCHEMISTRY; KIMMERIDGE CLAY; ORGANIC-MATTER; SEDIMENTS; ZEOLITES; ENGLAND</t>
  </si>
  <si>
    <t>Early-diagenetic calcite concretions are widespread in mudstone-tuff sequences deposited in Late Jurassic oxygen-deficient basins of the Antarctic Peninsula. Although obscured or destroyed in host rocks, original components and sedimentary structures are well preserved in concretions, in spite of significant mineralogical and geochemical change during growth. Early diagenesis led to a rapid and almost total variation in the mineralogy within the concretions, independently of the original host lithologies. Siliceous particles were replaced by chlorite and zeolites in suboxic, alkaline, and moderately reducing renditions on the sea floor and in the first centimeters of burial. These conditions also led to localized early formation of phosphate concretions. Pyrite developed subsequently because of high sulfide abundance in the sulfate reduction zone. Most calcite precipitation took place in the lower part of the sulfate reduction zone in a strongly alkaline environment where sulfide content had been lowered by pyrite precipitation. In this stage, the remaining siliceous elements were dissolved or replaced by calcite, Later diagenetic changes include enlargement of zeolites, minor changes in clay minerals, and the formation of calcite veins. The wide range of delta C-13 values in cement and vein calcite (-1,47 parts per thousand and -20.23 parts per thousand PDB) is explained by mixed carbon sources from organic matter oxidation and dissolution of calcareous shells. The low delta O-18 of calcite (-2,34 parts per thousand to -19.72 parts per thousand PDB) is the result of recrystallization in contact with high-temperature diagenetic or hydrothermal fluids flushed through micro-fractures in the concretions, which also produced extensive vein formation.</t>
  </si>
  <si>
    <t>Univ Buenos Aires, Fac Ciencias Exactas &amp; Nat, Dept Geol, RA-1428 Buenos Aires, DF, Argentina; Inst Palaontol, D-91054 Erlangen, Germany</t>
  </si>
  <si>
    <t>University of Buenos Aires; University of Erlangen Nuremberg</t>
  </si>
  <si>
    <t>Scasso, RA (corresponding author), Univ Buenos Aires, Fac Ciencias Exactas &amp; Nat, Dept Geol, Ciudad Univ,Pab 2,1 Piso, RA-1428 Buenos Aires, DF, Argentina.</t>
  </si>
  <si>
    <t>rscasso@gl.fcen.edu.ar; wolfgang.kiessling@rz.hu-berlin.de</t>
  </si>
  <si>
    <t>Kiessling, Wolfgang/E-2259-2015</t>
  </si>
  <si>
    <t>Kiessling, Wolfgang/0000-0002-1088-2014</t>
  </si>
  <si>
    <t>SEPM-SOC SEDIMENTARY GEOLOGY</t>
  </si>
  <si>
    <t>TULSA</t>
  </si>
  <si>
    <t>6128 EAST 38TH ST, STE 308, TULSA, OK 74135-5814 USA</t>
  </si>
  <si>
    <t>1527-1404</t>
  </si>
  <si>
    <t>J SEDIMENT RES</t>
  </si>
  <si>
    <t>J. Sediment. Res.</t>
  </si>
  <si>
    <t>A</t>
  </si>
  <si>
    <t>10.1306/032800710088</t>
  </si>
  <si>
    <t>402PD</t>
  </si>
  <si>
    <t>WOS:000166996600009</t>
  </si>
  <si>
    <t>Scasso, RA</t>
  </si>
  <si>
    <t>High-frequency explosive volcanic eruptions in a Late Jurassic volcanic arc: The Ameghino Formation, Antarctic Peninsula</t>
  </si>
  <si>
    <t>NEW-ZEALAND; SEDIMENTATION; SEA; ASH; PALEOGEOGRAPHY; EVOLUTION; FALLOUT; REGION; BASIN; ZONE</t>
  </si>
  <si>
    <t>Ash layers in the Lower Tithonian Longing Member (Ameghino Formation) on the Antarctic Peninsula are derived from the fallout of tephra associated with explosive eruptions. These layers are preserved in a complete and continuous sedimentary record formed in a deep, anoxic marine environment, with high background sedimentation rates allowing rapid burial and preservation. Absence of bioturbation precluded the thin ash beds from mixing with enclosing sediment. The average interval between explosive eruptions in the volcanic are of the Antarctic Peninsula during the Early Tithonian is estimated at between 700 and 1000 years, the highest frequency of explosive volcanic events ever defined in ancient marine rocks. This frequency is comparable to that of explosive eruptions in some presently active volcanic arcs, This indicates that deposition in some deep marine settings can produce records sufficiently complete to determine accurate frequencies of explosive eruptions in ancient magmatic arcs. The apparent lull in the volcanic activity in the Antarctic Peninsula during this time, inferred from dating of volcanic rocks from the are itself, is not supported by the marine record in the adjacent basin and must be due to a bias of sampling.</t>
  </si>
  <si>
    <t>Univ Buenos Aires, Fac Ciencias Exactas &amp; Nat, Dept Ciencias Geol, RA-1428 Buenos Aires, DF, Argentina</t>
  </si>
  <si>
    <t>Scasso, RA (corresponding author), Univ Buenos Aires, Fac Ciencias Exactas &amp; Nat, Dept Ciencias Geol, Ciudad Univ,Pabellon 2, RA-1428 Buenos Aires, DF, Argentina.</t>
  </si>
  <si>
    <t>1731 E 71ST STREET, TULSA, OK 74136-5108 USA</t>
  </si>
  <si>
    <t>1073-130X</t>
  </si>
  <si>
    <t>10.1306/032100710101</t>
  </si>
  <si>
    <t>WOS:000166996600010</t>
  </si>
  <si>
    <t>Lambert, JC; Van Roozendael, M; Simon, PC; Pommereau, JP; Goutail, F; Gleason, JF; Andersen, SB; Arlander, DW; Van, NAB; Claude, H; de La Noë, J; De Mazière, M; Dorokhov, V; Eriksen, P; Green, A; Tornkvist, KK; Hoiskar, BAK; Kyrö, E; Leveau, J; Merienne, MF; Milinevsky, G; Roscoe, HK; Sarkissian, A; Shanklin, JD; Stähelin, J; Tellefsen, CW; Vaughan, G</t>
  </si>
  <si>
    <t>Debus, A; Rummel, JD; Horneck, G; Rettberg, P</t>
  </si>
  <si>
    <t>Combined characterisation of GOME and TOMS total ozone measurements from space using ground-based observations from the NDSC</t>
  </si>
  <si>
    <t>LIFE SCIENCES: PLANETARY PROTECTION; OZONE AND UVB RADIATION EFFECTS</t>
  </si>
  <si>
    <t>ADVANCES IN SPACE RESEARCH-SERIES</t>
  </si>
  <si>
    <t>F3 4/F3 6 Symposium of COSPAR Scientific Commission F held at the 32nd COSPAR Scientific Meeting</t>
  </si>
  <si>
    <t>VALIDATION; SENSORS</t>
  </si>
  <si>
    <t>Several years of total ozone measured from space by the ERS-2 GOME, the Earth Probe TOMS, and the ADEOS TOMS, are compared with high-quality ground-based observations associated with the Network for the Detection of Stratospheric Change (NDSC), over an extended latitude range and a variety of geophysical conditions. The comparisons with each spaceborne sensor are combined altogether for investigating their respective solar zenith angle (SZA) dependence, dispersion, and difference of sensitivity. The space- and ground-based data are found to agree within a few percent on average. However, the analysis highlights for both GOME and TOMS several sources of discrepancies: (i) a SZA dependence with TOMS beyond 80 degrees SZA; (ii) a seasonal SZA dependence with GOME beyond 70 degrees SZA; (iii) a difference of sensitivity with COME at high latitudes; (iv) a difference of sensitivity to low ozone values between satellite and SAOZ sensors around the southern tropics; (v) a north/south difference of TOMS with the ground-based observations; and (vi) internal inconsistencies in COME total ozone. (C) 2001 COSPAR. Published by Elsevier Science Ltd. All rights reserved.</t>
  </si>
  <si>
    <t>Inst Aeron Spatiale Belgique, BIRA, Ave Circulaire 3, B-1180 Brussels, Belgium; CNRS, Serv Aeron, F-91371 Verrieres Le Buisson, France; NASA, Goddard Space Flight Ctr, Greenbelt, MD 20771 USA; DMI, DK-2100 Copenhagen, Denmark; Norwegian Inst Air Res NILU, N-2007 Kjeller, Norway; Univ Estadual Sao Paulista, UNESP, BR-17001 Bauru, SP, Brazil; DWD, D-82383 Hohenpeissenberg, Germany; Univ Bordeaux 1, CNRS, INSU, Observ Bordeaux, F-33270 Floirac, France; CAO, Dolgoprudnyi 141700, Moscow, Russia; Univ Coll Wales, Aberystwyth SY23 3BZ, Dyfed, Wales; FMI, Sodankyla Observ, FI-99600 Sodankyla, Finland; Univ La Reunion, LPA, F-97715 St Denis 9, France; Univ Reims, GSMA, Fac Sci, F-51687 Reims 2, France; KTSU, Space Phys Lab, UA-252022 Kiev, Ukraine; British Antarctic Survey, Cambridge CB3 0ET, England; Swiss Fed Inst Technol, Swiss Fed Inst Technol, CH-8093 Zurich, Switzerland</t>
  </si>
  <si>
    <t>Centre National de la Recherche Scientifique (CNRS); National Aeronautics &amp; Space Administration (NASA); NASA Goddard Space Flight Center; Danish Meteorological Institute DMI; NILU; Universidade Estadual Paulista; Universite de Bordeaux; Centre National de la Recherche Scientifique (CNRS); CNRS - National Institute for Earth Sciences &amp; Astronomy (INSU); Aberystwyth University; University of La Reunion; Universite de Reims Champagne-Ardenne; UK Research &amp; Innovation (UKRI); Natural Environment Research Council (NERC); NERC British Antarctic Survey; Swiss Federal Institutes of Technology Domain; ETH Zurich</t>
  </si>
  <si>
    <t>Inst Aeron Spatiale Belgique, BIRA, Ave Circulaire 3, B-1180 Brussels, Belgium.</t>
  </si>
  <si>
    <t>Gleason, James/E-1421-2012; Lambert, Jean-Christopher/IUN-1096-2023; Vaughan, Geraint/O-2459-2015; Milinevsky, Gennadi/AAD-8801-2019; Andersen, Signe/C-4809-2013</t>
  </si>
  <si>
    <t>Lambert, Jean-Christopher/0000-0001-7243-6848; Vaughan, Geraint/0000-0002-0885-0398; Milinevsky, Gennadi/0000-0002-2342-2615; Andersen, Signe/0000-0002-8216-0141</t>
  </si>
  <si>
    <t>ADV SPACE RES-SERIES</t>
  </si>
  <si>
    <t>BS43X</t>
  </si>
  <si>
    <t>WOS:000169859200005</t>
  </si>
  <si>
    <t>Mancinelli, RL; White, MR</t>
  </si>
  <si>
    <t>Inhibition of denitrification by ultraviolet radiation</t>
  </si>
  <si>
    <t>STRATOSPHERIC OZONE DEPLETION; ANTARCTIC MARINE ORGANISMS; TROPICAL SOLAR-RADIATION; B RADIATION; GLIDING CYANOBACTERIA; MOTILITY; EXPOSURE; BACTERIA</t>
  </si>
  <si>
    <t>It has been shown that UV-A (lambda =320 - 400 nm) and UV-B (lambda = 280 - 320 nm) inhibit photosynthesis, nitrogen fixation and nitrification. The purpose of this study was to determine the effects, if any, on denitrification in a microbial community inhabiting the intertidal. The community studied is the microbial mat consisting primarily of Lyngbya that inhabits the Pacific marine intertidal, Baja California, Mexico. Rates of denitrification were determined using the acetylene blockage technique. Pseudomonas fluorescens (ATCC # 17400) was used as a control organism, and treated similarly to the mat samples. Samples were incubated either beneath a PAR transparent, UV opaque screen (OP3), or a mylar screen to block UV-B, or a UV transparent screen(UVT) for 2 to 3 hours. Sets of samples were also treated with nitrapyrin to inhibit nitrification, or DCMU to inhibit photosynthesis and treated similarly. Denitrification rates were greater in the UV protected samples than in the UV exposed samples the mat samples as well as for the Ps. fluorescens cultures. Killed controls exhibited no activity. In the DCMU and nitrapyrin treated samples denitrification rates were the same as in the untreated samples. These data indicate that denitrification is directly inhibited by UV radiation. (C) 2001 COSPAR. Published by Elsevier Science Ltd. All rights reserved.</t>
  </si>
  <si>
    <t>NASA, Ames Res Ctr, Moffett Field, CA 94035 USA</t>
  </si>
  <si>
    <t>National Aeronautics &amp; Space Administration (NASA); NASA Ames Research Center</t>
  </si>
  <si>
    <t>Mancinelli, RL (corresponding author), NASA, Ames Res Ctr, Mail Stop 239-12, Moffett Field, CA 94035 USA.</t>
  </si>
  <si>
    <t>Mancinelli, Rocco/L-8971-2016</t>
  </si>
  <si>
    <t>WOS:000169859200017</t>
  </si>
  <si>
    <t>Prince, JD; Griffin, DA</t>
  </si>
  <si>
    <t>Spawning dynamics of the eastern gemfish (Rexea solandri) in relation to regional oceanography in south-eastern Australia</t>
  </si>
  <si>
    <t>MARINE AND FRESHWATER RESEARCH</t>
  </si>
  <si>
    <t>HOPLOSTETHUS-ATLANTICUS; ORANGE ROUGHY; ENRICHMENT; TASMANIA; WATERS; SLOPE; COAST</t>
  </si>
  <si>
    <t>Experienced fishers believe the winter aggregations of gemfish are influenced by the following: cold bottom currents from the south and east flowing up onto the shelf; the edge of warm-core eddies; and topographic features along the shelf break. These claims were tested through observations made at sea during industry surveys of the winter gemfish seasons 1996-98, and the study of 250 m isotherm charts, sea surface temperature data, and historic catch data. The study generally confirmed the anecdotal information collected from the fishers. The first gemfish aggregations of the winter season often form on the southern edge of a warm-core eddy. Secondarily, aggregations tend to form around the northern edge of the warm-core eddy if it is interacting with the shelf break. Finally, gemfish aggregate around the point at which the main flow of the East Australian Current (EAC) detaches from the continental shelf. This timing and location apparently coincides with conditions conducive to the production of subsurface plumes of nutrient-rich deep Sub-Antarctic mode Water. These plumes lead to seasonal enhancement of phytoplankton growth along the edge of the continental shelf, which may offer the adaptive advantage of enhancing the survival and growth of larval gemfish.</t>
  </si>
  <si>
    <t>Biospher Pty Ltd, S Fremantle, WA 6162, Australia; CSIRO, Div Marine Res, Hobart, Tas 7001, Australia</t>
  </si>
  <si>
    <t>Biospher Pty Ltd, POB 168, S Fremantle, WA 6162, Australia.</t>
  </si>
  <si>
    <t>Griffin, David/A-1498-2012</t>
  </si>
  <si>
    <t>CSIRO PUBLISHING</t>
  </si>
  <si>
    <t>CLAYTON</t>
  </si>
  <si>
    <t>UNIPARK, BLDG 1, LEVEL 1, 195 WELLINGTON RD, LOCKED BAG 10, CLAYTON, VIC 3168, AUSTRALIA</t>
  </si>
  <si>
    <t>1323-1650</t>
  </si>
  <si>
    <t>1448-6059</t>
  </si>
  <si>
    <t>MAR FRESHWATER RES</t>
  </si>
  <si>
    <t>Mar. Freshw. Res.</t>
  </si>
  <si>
    <t>SI</t>
  </si>
  <si>
    <t>10.1071/MF00007</t>
  </si>
  <si>
    <t>Fisheries; Limnology; Marine &amp; Freshwater Biology; Oceanography</t>
  </si>
  <si>
    <t>Fisheries; Marine &amp; Freshwater Biology; Oceanography</t>
  </si>
  <si>
    <t>475ML</t>
  </si>
  <si>
    <t>WOS:000171168200020</t>
  </si>
  <si>
    <t>Rowling, KR</t>
  </si>
  <si>
    <t>Comment on 'Spawning dynamics of the eastern gemfish (Rexea solandri) in relation to regional oceanography'</t>
  </si>
  <si>
    <t>Temporal trends through the winter seasons in commercial landings of eastern gemfish (Rexea solandri) during the years 1977-79, 1982-85, 1986-87 and 1989-92 were reasonably stable for given latitudes, despite variable oceanographic influences, as depicted by 250 m isotherm data. This suggests that the overall pattern of occurrence of pre-spawning aggregations of eastern gemfish in these periods was determined by a combination of time of the season and latitude, rather than by oceanographic factors. Between 1986 and 1996, only four instances were identified where gemfish catches contained &gt;10% of 'running ripe' females, and the variety of oceanographic conditions under which these catches were made provides little support for the hypothesis that eastern gemfish spawn into subsurface plumes of upwelled sub-Antarctic water.</t>
  </si>
  <si>
    <t>NSW Fisheries, Cronulla, NSW 2230, Australia</t>
  </si>
  <si>
    <t>NSW Department of Primary Industries</t>
  </si>
  <si>
    <t>Rowling, KR (corresponding author), NSW Fisheries, POB 21, Cronulla, NSW 2230, Australia.</t>
  </si>
  <si>
    <t>10.1071/MF01041</t>
  </si>
  <si>
    <t>WOS:000171168200021</t>
  </si>
  <si>
    <t>Wahle, RA; Tully, O; O'Donovan, V</t>
  </si>
  <si>
    <t>Environmentally mediated crowding effects on growth, survival and metabolic rate of juvenile American lobsters (Homarus americanus)</t>
  </si>
  <si>
    <t>6th International Conference and Workshop on Lobster Biology and Management</t>
  </si>
  <si>
    <t>SEP 10-15, 2000</t>
  </si>
  <si>
    <t>KEY WEST, FL</t>
  </si>
  <si>
    <t>ANTARCTIC MESOPELAGIC FISHES; CRAB CALLINECTES-SAPIDUS; FRESH-WATER CRAYFISH; BODY-SIZE; AGE-PIGMENT; BLUE-CRAB; LIPOFUSCIN; RECRUITMENT; TEMPERATURE; GAMMARUS</t>
  </si>
  <si>
    <t>The geographic range of the American lobster spans a very large temperature gradient. The gradient's effects on growth and the onset of maturity are well known, but young age classes restricted to nursery grounds tend to overlap more in cooler regions than in warm regions, and the resulting effects on growth and survival are poorly understood. In field experiments in enclosures, in Maine, USA, age-0+ lobsters grew more slowly at the cooler site, and growth was little affected by stocking treatment. At the warmer site, stocking treatment effects were more pronounced. Sites did not differ in per capita survival, and stocking treatment effects were equally pronounced at the two: survival of 0+ lobsters was unaffected by additions of 1+ lobsters, but was significantly adversely affected by the addition of 0+ lobsters. Mass-specific metabolic rates of similar sized lobsters averaged higher at the cooler site. Our results suggest that location and intercohort effects are likely to affect growth more than survival of newly settled lobsters and that juveniles compensate metabolically for cool temperatures but not enough to compensate completely for their growth-retarding effects. Spatial variability in temperature may complicate use of physiological age indicators for the American lobster and other temperate crustaceans.</t>
  </si>
  <si>
    <t>Bigelow Lab Ocean Sci, W Boothbay Harbor, ME 04575 USA; Univ Dublin Trinity Coll, Dept Zool, Dublin 2, Ireland</t>
  </si>
  <si>
    <t>Bigelow Laboratory for Ocean Sciences; Trinity College Dublin</t>
  </si>
  <si>
    <t>Bigelow Lab Ocean Sci, W Boothbay Harbor, ME 04575 USA.</t>
  </si>
  <si>
    <t>rwahle@bigelow.org</t>
  </si>
  <si>
    <t>Wahle, Richard/AAI-3047-2020</t>
  </si>
  <si>
    <t>10.1071/MF01185</t>
  </si>
  <si>
    <t>Science Citation Index Expanded (SCI-EXPANDED); Conference Proceedings Citation Index - Science (CPCI-S)</t>
  </si>
  <si>
    <t>516RT</t>
  </si>
  <si>
    <t>WOS:000173571100014</t>
  </si>
  <si>
    <t>Reid, K</t>
  </si>
  <si>
    <t>Growth of Antarctic krill Euphausia superba at South Georgia</t>
  </si>
  <si>
    <t>MARINE BIOLOGY</t>
  </si>
  <si>
    <t>SEALS ARCTOCEPHALUS-GAZELLA; FUR SEALS; DIET; TEMPERATURE; MATURATION; PREDATORS; CRUSTACEA</t>
  </si>
  <si>
    <t>Antarctic krill Euphausia superba has a central role in the ecosystem of the Southern Ocean and knowledge of its growth rate is central to determining the factors influencing population dynamics. The length of Antarctic krill in the diet of Antarctic fur seals Arctocephalus gazella at South Georgia revealed a consistent increase in size between ca. 42 and ca. 54 mm over the period October-March, indicating growth rates much higher than predicted by existing models. Geographical variation in growth rate may result in 2-year-old krill at South Georgia attaining the same size as 3-year-old krill in the Antarctic Peninsula region. The effect of geographical variation in growth rate on the population structure of krill has important implications for comparing the fate of individual cohorts over large scales and in the interpretation of krill life-cycles.</t>
  </si>
  <si>
    <t>k.reid@bas.ac.uk</t>
  </si>
  <si>
    <t>0025-3162</t>
  </si>
  <si>
    <t>1432-1793</t>
  </si>
  <si>
    <t>MAR BIOL</t>
  </si>
  <si>
    <t>Mar. Biol.</t>
  </si>
  <si>
    <t>10.1007/s002270000425</t>
  </si>
  <si>
    <t>398CT</t>
  </si>
  <si>
    <t>WOS:000166738900006</t>
  </si>
  <si>
    <t>Bucciarelli, E; Blain, S; Tréguer, P</t>
  </si>
  <si>
    <t>Iron and manganese in the wake of the Kerguelen Islands (Southern Ocean)</t>
  </si>
  <si>
    <t>MARINE CHEMISTRY</t>
  </si>
  <si>
    <t>iron; manganese; Southern Ocean; Kerguelen Islands</t>
  </si>
  <si>
    <t>DISSOLVED TRACE-METALS; SURFACE WATERS; CONTINENTAL-SHELF; NORTH PACIFIC; ATLANTIC; PHYTOPLANKTON; DISTRIBUTIONS; COMPLEXATION; VARIABILITY; LIMITATION</t>
  </si>
  <si>
    <t>As part of the ANTARES 3/F-JGOFS cruise, the distributions of dissolved iron and manganese were measured in October 1995 in the north-east wake of the Kerguelen archipelago (48 degrees 40'-49 degrees 40'S, 68 degrees 70'-70 degrees 50'E), an area that shows high phytoplankton biomass (CZCS and SeaWiFS data) in the middle of the High Nutrient Low Chlorophyll (HNLC) Southern Ocean. The study area (about 25,000 km(2)) comprised a branch of the Polar Front with Antarctic surface water (AASW) intruding northward, shouldering the shelf break of the Kerguelen Plateau. The coastal zone was clearly affected by material of lithogenic origin (riverine discharges, soil leaching by rain waters, aeolian inputs), as well as by inputs from the sediments (effluxes from the sediment-water interface, resuspension from the sediments), its near surface waters showing considerable enrichment in dissolved iron (5.3-12.6 nM) and in dissolved manganese (2.9-8.6 nM). The offshore waters, although less enriched in trace-metals, were also affected by trace-metal inputs from coastal and continental shelf origin. Dissolved iron and manganese concentrations in these waters were 0.46-0.71 and 0.68-1.3 nM, i.e. far over typical antarctic open ocean surface water concentrations of 0.16 nM for iron [Martin, J.H., Gordon, R.M., Fitzwater, S.E., 1990. Iron in Antarctic waters. Nature, 345: 156-158.] and around 0.1 nM for manganese [Martin, J.H., Gordon, R.M., Fitzwater, S.E., 1990. Iron in Antarctic waters. Nature, 345: 156-158; Sedwick, P.N., Edwards, P.R., Mackey, D.J., Griffiths, F.B., Parslow, J.S., 1997. Iron and manganese in surface waters of the Australian subantarctic region. Deep-Sea Res., 44: 1239-1253.]. The dissolved iron enrichment in coastal waters of the Kerguelen Islands is much more important (about 10 times for dissolved iron) than for the Galapagos Islands, another oasis in the HNLC Equatorial oceanic system, where the concentration increase in dissolved iron in the surface waters around the islands is mostly driven by upwelling of the Equatorial Under Current (EUC) as it reaches the Galapagos Platform. (C) 2001 Elsevier Science B.V. All rights reserved.</t>
  </si>
  <si>
    <t>Inst Univ Europeen Mer, UMR CNRS 6539, Lab Sci Environm Martin, F-29280 Plouzane, France</t>
  </si>
  <si>
    <t>Universite de Bretagne Occidentale; Institut Universitaire Europeen de la Mer (IUEM); Centre National de la Recherche Scientifique (CNRS); Ifremer; Institut de Recherche pour le Developpement (IRD)</t>
  </si>
  <si>
    <t>Inst Univ Europeen Mer, UMR CNRS 6539, Lab Sci Environm Martin, Pl Nicolas Copernic, F-29280 Plouzane, France.</t>
  </si>
  <si>
    <t>eva.bucciarelli@univ-brest.fr</t>
  </si>
  <si>
    <t>blain, stephane/0000-0002-5234-2446</t>
  </si>
  <si>
    <t>0304-4203</t>
  </si>
  <si>
    <t>1872-7581</t>
  </si>
  <si>
    <t>MAR CHEM</t>
  </si>
  <si>
    <t>Mar. Chem.</t>
  </si>
  <si>
    <t>10.1016/S0304-4203(00)00070-0</t>
  </si>
  <si>
    <t>Chemistry, Multidisciplinary; Oceanography</t>
  </si>
  <si>
    <t>Chemistry; Oceanography</t>
  </si>
  <si>
    <t>387QM</t>
  </si>
  <si>
    <t>WOS:000166133300002</t>
  </si>
  <si>
    <t>Nelson, MM; Mooney, BD; Nichols, PD; Phleger, CF</t>
  </si>
  <si>
    <t>Lipids of Antarctic Ocean amphipods: food chain interactions and the occurrence of novel biomarkers</t>
  </si>
  <si>
    <t>amphipods; Antarctica; polyunsaturated fatty acids; sterols; triacylglycerols</t>
  </si>
  <si>
    <t>FATTY-ACIDS; SOUTH GEORGIA; SEA-ICE; ZOOPLANKTON; CRUSTACEA; FISH; TROPHODYNAMICS; PTEROPODS; BUOYANCY; STEROLS</t>
  </si>
  <si>
    <t>Antarctic hyperiid (Themisto gaudichaudi, Hyperia macrocephalus, and Primno macropa) and gammarid amphipods (Eusirus perdentatus and Orshomene rossi) were collected near Elephant Island, located in the South Shetland Islands, during January and February 1997 and 1998. Polar lipid (PL) was the major Lipid class in all amphipods (58-88% of total lipid), except for T. gaudichaudi in which triacylglycerol (TAG) was dominant (62%). Cholesterol was the major sterol in the gammarid amphipods (89-91% of total sterols), and the hyperiid P. macropa (70%). The hyperiids T. gaudichaudi and H, macrocephalus had a more diverse sterol composition including trans-dehydrocholesterol, desmosterol, 24-nordehydrocholesterol, 24-methylcholest-5, 22 Edien-3 beta -ol, 24-methylenecholesterol, and stanols (mostly cholestanol). Eicosapentaenoic acid [EPA, 20:5(n - 3)] and docosahexaenoic acid [DHA, 22:6(n - 3)] were the major polyunsaturated fatty acids (PUFA) in all amphipods. The PUFA octadecapentaenoic acid [18:5(n - 3)] was not detected in 1997 samples, but comprised 0.3-1.2% in all 1998 samples. The PUFA 18:4(n - 3) comprised 0.2-4.2% in all samples from both years. Very long chain PUFA (VLC-PUFA) (C-24 and C-26) were not detected in the one 1997 sample but comprised 0.6-2.8% of total fatty acids in almost all 1998 amphipods. Monounsaturated fatty acids included 18:1(n - 9)c, 18:1(n - 7)c, and 16:1(n - 7)c. Principal saturated fatty acids in all amphipods were 16:0, 14:0, and 18:0. Examination of biomarker Lipids has helped clarify trophic interactions for these Antarctic amphipods, and revealed annual differences in their food sources. (C) 2001 Elsevier Science B.V. All rights reserved.</t>
  </si>
  <si>
    <t>Univ Tasmania, Dept Zool, Hobart, Tas 7001, Australia; San Diego State Univ, Dept Biol, San Diego, CA 92182 USA; CSIRO, Marine Res, Hobart, Tas 7001, Australia; Antarctic CRC, Hobart, Tas 7001, Australia</t>
  </si>
  <si>
    <t>University of Tasmania; California State University System; San Diego State University; Commonwealth Scientific &amp; Industrial Research Organisation (CSIRO)</t>
  </si>
  <si>
    <t>Nelson, MM (corresponding author), Univ Tasmania, Dept Zool, GPO Box 252-05, Hobart, Tas 7001, Australia.</t>
  </si>
  <si>
    <t>Nichols, Peter D/C-5128-2011; Nelson, Matthew M/A-6811-2016</t>
  </si>
  <si>
    <t>Nelson, Matthew/0000-0003-4889-3752</t>
  </si>
  <si>
    <t>10.1016/S0304-4203(00)00072-4</t>
  </si>
  <si>
    <t>WOS:000166133300004</t>
  </si>
  <si>
    <t>Hamer, KC; Phillips, RA; Hill, JK; Wanless, S; Wood, AG</t>
  </si>
  <si>
    <t>Contrasting foraging strategies of gannets Morus bassanus at two North Atlantic colonies:: foraging trip duration and foraging area fidelity</t>
  </si>
  <si>
    <t>MARINE ECOLOGY PROGRESS SERIES</t>
  </si>
  <si>
    <t>pelecaniformes; satellite telemetry; foraging behaviour; marine distribution; information transfer</t>
  </si>
  <si>
    <t>PUFFIN FRATERCULA-ARCTICA; PROCELLARIIFORM SEABIRDS; FEEDING LOCATIONS; BREEDING-SEASON; SULA-BASSANA; SHETLAND; CHICKS; PREY</t>
  </si>
  <si>
    <t>Seabirds may be able to increase their foraging efficiency by learning the whereabouts of predictable sources of prey and returning repeatedly to these locations. The occurrence of such foraging area fidelity has been little studied, particularly for pelagic species. We used satellite telemetry to study foraging behaviour and foraging area fidelity of individual chick-rearing gannets in the North Sea (at the Bass Rock, SE Scotland) and in the Celtic Sea (at Great Saltee, SE Ireland), 2 areas that differ in the distribution of prey. Foraging ranges of adults covered a wide area of ocean up to a maximum range of 540 km at the Bass Rock and 240 km at Great Saltee. At the Bass Rock, individual birds foraged in a single direction or at most in 2 distinct directions, with very similar bearings on successive trips in each direction, significant differences in bearings between individuals and significant repeatability in distances travelled. These results strongly suggest that individuals learned and remembered the locations of feeding sites and used that knowledge on subsequent foraging trips. By contrast at Great Saltee, bearings of successive trips by individuals were much less similar, with highly variable distances to destinations, no differences in bearings among individuals and no significant repeatability in distance travelled. These results indicate a much lower degree of foraging area fidelity at Great Saltee, probably due to a more uniform or less predictable distribution of prey in the Celtic Sea than in the North Sea. Despite marked differences between colonies in distances to trip destinations, durations of foraging trips and foraging area fidelity, the behaviour of birds during foraging trips was very similar at the 2 sites; the average speed of travel during foraging trips was almost identical and birds at both colonies spent about half their time at sea in flight.</t>
  </si>
  <si>
    <t>Univ Durham, Dept Biol Sci, Durham DH1 3LE, England; British Antarctic Survey, NERC, Cambridge CB3 0ET, England; NERC, Ctr Ecol &amp; Hydrol, Banchory Res Stn, Hill Of Brathens AB31 4BY, Aberdeen, Scotland</t>
  </si>
  <si>
    <t>Durham University; UK Research &amp; Innovation (UKRI); Natural Environment Research Council (NERC); NERC British Antarctic Survey; UK Centre for Ecology &amp; Hydrology (UKCEH); UK Research &amp; Innovation (UKRI); Natural Environment Research Council (NERC)</t>
  </si>
  <si>
    <t>Hamer, KC (corresponding author), Univ Durham, Dept Biol Sci, South Rd, Durham DH1 3LE, England.</t>
  </si>
  <si>
    <t>k.c.hamer@durham.ac.uk</t>
  </si>
  <si>
    <t>Wanless, Sarah/K-2338-2012; Hill, Jane K./AAJ-3374-2021; Hill, Jane K/G-5151-2011</t>
  </si>
  <si>
    <t>Wanless, Sarah/0000-0002-2788-4606; Hill, Jane K./0000-0003-1871-7715;</t>
  </si>
  <si>
    <t>INTER-RESEARCH</t>
  </si>
  <si>
    <t>OLDENDORF LUHE</t>
  </si>
  <si>
    <t>NORDBUNTE 23, D-21385 OLDENDORF LUHE, GERMANY</t>
  </si>
  <si>
    <t>0171-8630</t>
  </si>
  <si>
    <t>MAR ECOL PROG SER</t>
  </si>
  <si>
    <t>Mar. Ecol.-Prog. Ser.</t>
  </si>
  <si>
    <t>10.3354/meps224283</t>
  </si>
  <si>
    <t>Ecology; Marine &amp; Freshwater Biology; Oceanography</t>
  </si>
  <si>
    <t>Environmental Sciences &amp; Ecology; Marine &amp; Freshwater Biology; Oceanography</t>
  </si>
  <si>
    <t>518TL</t>
  </si>
  <si>
    <t>WOS:000173683900023</t>
  </si>
  <si>
    <t>Hernández-León, S; Portillo-Hahnefeld, A; Almeida, C; Bécognée, P; Moreno, I</t>
  </si>
  <si>
    <t>Diel feeding behaviour of krill in the Gerlache Strait, Antarctica</t>
  </si>
  <si>
    <t>feeding; vertical distribution; zooplankton; Antarctica</t>
  </si>
  <si>
    <t>MARGINAL ICE-ZONE; EUPHAUSIA-SUPERBA; SOUTH GEORGIA; VERTICAL MIGRATION; BRANSFIELD STRAIT; AUSTRAL SUMMER; WEDDELL-SEA; COASTAL WATERS; COPEPOD INTERACTIONS; BELLINGSHAUSEN SEA</t>
  </si>
  <si>
    <t>Abundance, gut fluorescence and gut content of juvenile krill Euphausia superba (15 to 20 mm) were measured during a diel cycle in the Gerlache Strait (Antarctic Peninsula), Krill remained in the upper layers (0 to 100 in) during the day and migrated downward below this depth during the night, coinciding with the vertical ascent of the copepod Metridia gerlachei to shallower layers. Krill fed on phytoplankton during the day (as deduced from gut fluorescence measurements), whereas they switched to carnivory during the night (as deduced from gut contents). The vertical migration and the feeding behaviour of krill agree with different observations in the literature and gives an additional explanation to the observed inverse relationship between krill and non-krill zoo-plankton. The fact that krill is able to prey on mesozooplankton suggests that euphausiids can exert a top-down effect which structures the plankton community of Antarctic waters.</t>
  </si>
  <si>
    <t>Univ Las Palmas Gran Canaria, Fac Ciencias Mar, Biol Oceanog Lab, Las Palmas de Gran Canaria 35017, Canary Islands, Spain; Univ Illes Balears, Fac Ciencias, Dept Biol Ambiental, Palma de Mallorca 07071, Spain</t>
  </si>
  <si>
    <t>Universidad de Las Palmas de Gran Canaria; Universitat de les Illes Balears</t>
  </si>
  <si>
    <t>Hernández-León, S (corresponding author), Univ Las Palmas Gran Canaria, Fac Ciencias Mar, Biol Oceanog Lab, Campus Univ Tafira, Las Palmas de Gran Canaria 35017, Canary Islands, Spain.</t>
  </si>
  <si>
    <t>santiago.hernandez-leon@biologia.ulpgc.es</t>
  </si>
  <si>
    <t>Hernández-León, Santiago/M-2563-2014; Almeida, Carlos/AAN-3854-2021; DE ALMEIDA, CARLOS CAETANO/K-4265-2016</t>
  </si>
  <si>
    <t>Almeida, Carlos/0000-0001-9283-4851; Hernandez-Leon, Santiago/0000-0002-3085-4969</t>
  </si>
  <si>
    <t>10.3354/meps223235</t>
  </si>
  <si>
    <t>512XK</t>
  </si>
  <si>
    <t>WOS:000173348700020</t>
  </si>
  <si>
    <t>Bocher, P; Cherel, Y; Labat, JP; Mayzaud, P; Razouls, S; Jouventin, P</t>
  </si>
  <si>
    <t>Amphipod-based food web:: Themisto gaudichaudii caught in nets and by seabirds in Kerguelen waters, southern Indian Ocean</t>
  </si>
  <si>
    <t>Antarctica; Euphausia superba; pelagic ecosystem; penguins; petrels; prions; top predators; trophic web</t>
  </si>
  <si>
    <t>ANTARCTIC MARION ISLAND; PETREL HALOBAENA-CAERULEA; PRION PACHYPTILA-DESOLATA; FEEDING ECOLOGY; BLUE PETREL; SCOTIA SEA; EUDYPTES-CHRYSOLOPHUS; CHRYSOCOME PENGUINS; DIETARY SEGREGATION; HYPERIID AMPHIPOD</t>
  </si>
  <si>
    <t>Comparing food samples from diving and surface-feeding seabirds breeding in the Golfe du Morbihan at Kerguelen Islands to concurrent net samples caught within the predator foraging range, we evaluated the functional importance of the hyperiid amphipod Themisto gaudichaudii in the subantarctic pelagic ecosystem during the summer months. T gaudichaudii occurred in high densities (up to 61 individuals m(-3)) in the water column, being more abundant within islands in the western part of the gulf than at open gulf and shelf stations. The amphipod was a major prey of all seabird species investigated except the South Georgian diving petrel, accounting for 39, 80, 68, 59 and 46% of the total number of prey of blue petrels, thin-billed prions, Antarctic prions, common diving petrels and southern rockhopper penguins, respectively. The length-frequency distribution of T gaudichaudii was similar between the 2 diving species, which fed on 1 large size class of adult individuals, whereas the 3 surface-feeding seabirds preyed upon 2 size classes but in different proportions. Juveniles and adults T gaudichaudii were equally important in the diet of blue petrels, whereas juveniles and adults predominated in the food of thin-billed and Antarctic prions, respectively. Comparison of T gaudichaudii found in nets and food samples together with observations at sea indicated that common diving petrels and southern rockhopper penguins fed in the close vicinity of the colonies in the Golfe du Morbihan, whereas blue petrels, and thin-billed and Antarctic prions mainly preyed upon amphipods outside the sampled area. Our study shows that T.gaudichaudii an important local component of the macrozooplankton community and the main prey for planktivorous seabirds inhabiting the Kerguelen archipelago. In certain areas of the subantarctic zone, it therefore has a trophic role similar to that of Antarctic krill Euphausia superba further south, in Antarctic waters.</t>
  </si>
  <si>
    <t>CNRS, Ctr Etud Biol Chize, UPR 1934, F-79360 Villiers En Bois, France; Univ La Rochelle, EA 1220, Lab Biol &amp; Environm Marins, F-17026 La Rochelle, France; UPMC, Lab Oceanog Biochim &amp; Ecol, Observ Oceanol, CNRS,ESA 7076,LOBEPM, F-06230 Villefranche Sur Mer, France; Lab Arago, UPMC, Observ Oceanol, CNRS,UMR 7621, F-66650 Banyuls sur Mer, France; CNRS, UPR 9056, Ctr Ecol Fonct &amp; Evolut, F-34293 Montpellier 5, France</t>
  </si>
  <si>
    <t>Centre National de la Recherche Scientifique (CNRS); La Rochelle Universite; Sorbonne Universite; Centre National de la Recherche Scientifique (CNRS); Centre National de la Recherche Scientifique (CNRS); CNRS - National Institute for Earth Sciences &amp; Astronomy (INSU); Sorbonne Universite; Universite PSL; Ecole Pratique des Hautes Etudes (EPHE); Institut Agro; Montpellier SupAgro; CIRAD; Centre National de la Recherche Scientifique (CNRS); Institut de Recherche pour le Developpement (IRD); Universite Paul-Valery; Universite de Montpellier</t>
  </si>
  <si>
    <t>Cherel, Y (corresponding author), CNRS, Ctr Etud Biol Chize, UPR 1934, F-79360 Villiers En Bois, France.</t>
  </si>
  <si>
    <t>cherel@cebc.cnrs.fr</t>
  </si>
  <si>
    <t>10.3354/meps223261</t>
  </si>
  <si>
    <t>WOS:000173348700023</t>
  </si>
  <si>
    <t>Bonadonna, F; Lea, MA; Dehorter, O; Guinet, C</t>
  </si>
  <si>
    <t>Foraging ground fidelity and route-choice tactics of a marine predator:: the Antarctic fur seal Arctocephalus gazella</t>
  </si>
  <si>
    <t>Antarctic fur seal; satellite transmitter; foraging trip; Kerguelen</t>
  </si>
  <si>
    <t>BEHAVIOR; PREY; BUDGETS</t>
  </si>
  <si>
    <t>This study examins the intra- and inter-individual changes in the foraging route-choice behaviour of 45 female Antarctic fur seals Arctocephalus gazella breeding at the Cap Noir colony in the Kerguelen Archipelago, southern Indian Ocean. Satellite transmitters were used to track seals during one or more consecutive foraging trips in 3 consecutive austral summers (1998 to 2000). In all years of study the seals showed a 'colony-preferred direction', concentrating their trips at sea in a 140degrees arc east of Kerguelen, indicating a preferred area for foraging. Within this area, lactating females travelled in 1 of 2 main directions: north east toward the edge of the Kerguelen plateau; and less commonly, east/south east. Each direction led seals to sub-areas characterised by different bathymetric features where animals appeared to use different tactics to search for food patches. Moreover, a fidelity index incorporating the mean direction of successive trips and the colony preferred direction indicated the existence of an individual directional fidelity. The organisation of foraging trips suggests 2 levels of learning by seals: a colony memory of the main foraging zone and an individual memory of profitable patches that are exploited by the same individual during successive trips.</t>
  </si>
  <si>
    <t>Ctr Etud Biol Chize, CNRS, F-79360 Villiers En Bois, France; Univ Tasmania, Dept Zool, Antarctic Wildlife Res Unit, Hobart, Tas 7001, Australia</t>
  </si>
  <si>
    <t>Centre National de la Recherche Scientifique (CNRS); University of Tasmania</t>
  </si>
  <si>
    <t>Bonadonna, F (corresponding author), Ctr Etud Biol Chize, CNRS, F-79360 Villiers En Bois, France.</t>
  </si>
  <si>
    <t>francesco.bonadonna@cefe.cnrs-mop.fr</t>
  </si>
  <si>
    <t>Guinet, Christophe/AAR-8457-2020; Bonadonna, Francesco/A-7456-2008; Lea, Mary-Anne/E-9054-2013</t>
  </si>
  <si>
    <t>Bonadonna, Francesco/0000-0002-2702-5801; Lea, Mary-Anne/0000-0001-8318-9299</t>
  </si>
  <si>
    <t>10.3354/meps223287</t>
  </si>
  <si>
    <t>Bronze, Green Submitted, Green Accepted</t>
  </si>
  <si>
    <t>WOS:000173348700025</t>
  </si>
  <si>
    <t>Morán, XAG; Gasol, JM; Pedrós-Alió, C; Estrada, M</t>
  </si>
  <si>
    <t>Dissolved and particulate primary production and bacterial production in offshore Antarctic waters during austral summer:: coupled or uncoupled?</t>
  </si>
  <si>
    <t>bacteria; phytoplankton; bacterial production; DOC; primary production; coupling; Southern Ocean</t>
  </si>
  <si>
    <t>WESTERN BRANSFIELD STRAIT; WEDDELL-SCOTIA SEA; MARGINAL ICE-ZONE; SOUTHERN-OCEAN; ORGANIC-MATTER; PHYTOPLANKTON BLOOMS; ROSS SEA; GROWTH EFFICIENCY; DIEL VARIATIONS; COASTAL WATERS</t>
  </si>
  <si>
    <t>The dependence of heterotrophic bacteria on dissolved organic products released by phytoplankton was estimated in the Weddell and Scotia Seas during austral summer 1998. We used time-course experiments of C-14-bicarbonate assimilation and compartmental analysis to estimate primary production of total (TOC), particulate (POC) and dissolved (DOC) organic carbon. Three in situ incubations were also performed in Bransfield Strait. Phytoplanktonic biomass and production were within the ranges previously reported for offshore Antarctic waters, with mean values of 0.45 mg chlorophyll a m(-3) and 0.51 mgC m(-3) h(-1) for total primary production (0.45 and 0.06 mg C m(-3) h(-1) of POC and DOC, respectively). Percent extracellular release (PER = DOC/[POC+DOC]) averaged 13% (range 5 to 33%), a value comparable with those reported for lower latitudes. The production rate of DOC correlated positively with TOC and POC production rates, but not with chlorophyll a concentration, suggesting that availability of recently fixed photosynthate was a key factor regulating phytoplanktonic DOC release, As much as 82% of the variance in bacterial heterotrophic production (BHP), estimated by IH-leucine incorporation, was accounted for by dissolved primary production. BHP bore no relationship with other phytoplankton-related variables. Assuming a conservative bacterial growth efficiency of 14%, as reported by recent work in Antarctic waters, our experiments indicate that phytoplanktonically produced DOC would suffice to meet bacterial carbon demand. These results suggest a strong coupling between phytoplankton and bacterioplankton through DOC release and uptake under non-bloom conditions in the Southern Ocean.</t>
  </si>
  <si>
    <t>CSIC, Inst Ciencies Mar, Dept Biol Marina Oceanog, Barcelona 08003, Spain</t>
  </si>
  <si>
    <t>Consejo Superior de Investigaciones Cientificas (CSIC); CSIC - Centro Mediterraneo de Investigaciones Marinas y Ambientales (CMIMA); CSIC - Instituto de Ciencias del Mar (ICM)</t>
  </si>
  <si>
    <t>Morán, XAG (corresponding author), Ctr Oceanog Xixon, Inst Espanol Oceanog, Camin Arbeyal S-N, Xixon 33212, Spain.</t>
  </si>
  <si>
    <t>xelu.moran@gi.ieo.es</t>
  </si>
  <si>
    <t>Estrada, Marta/L-6207-2014; Gasol, Josep M/B-1709-2008; Pedros-Alio, Carlos/H-1222-2011; Moran, Xose Anxelu G./K-9647-2014</t>
  </si>
  <si>
    <t>Estrada, Marta/0000-0001-5769-9498; Gasol, Josep M/0000-0001-5238-2387; Pedros-Alio, Carlos/0000-0003-1009-4277; Moran, Xose Anxelu G./0000-0002-9823-5339</t>
  </si>
  <si>
    <t>10.3354/meps222025</t>
  </si>
  <si>
    <t>498NA</t>
  </si>
  <si>
    <t>WOS:000172516300002</t>
  </si>
  <si>
    <t>Baduini, CL; Lovvorn, JR; Hunt, GL</t>
  </si>
  <si>
    <t>Determining the body condition of short-tailed shearwaters: implications for migratory flight ranges and starvation events</t>
  </si>
  <si>
    <t>Bering Sea; body condition; lipid metabolism; nutritional stress; starvation; flight range; Puffinus tenuirostris; short-tailed shearwater</t>
  </si>
  <si>
    <t>KING PENGUIN CHICKS; BONE-MARROW FAT; LIPID UTILIZATION; BERING-SEA; PUFFINUS-TENUIROSTRIS; ANTARCTIC WATERS; EMPEROR PENGUINS; FUEL METABOLISM; SNOW GEESE; PROTEIN</t>
  </si>
  <si>
    <t>Short-tailed shearwaters Puffinus tenuirostris migrate annually from breeding areas in southeast Australia and Tasmania to the Bering Sea to feed on abundant prey aggregations, mainly euphausiids, Occasionally thousands of shearwaters die of starvation en route, within, or on return from the Bering Sea, Collection of live and dead shearwaters in the southeastern Bering Sea in 1997, 1998, and 1999 allowed us to measure seasonal changes in energy reserves during a major mortality event, As birds lost body mass, lipid mass initially decreased faster than that of pectoralis muscle, but loss of pectoralis mass increased markedly at a body mass around 500 g when lipids were almost depleted (similar to 33 g remaining). Death occurred as body mass approached 426 g. Individuals near this body mass had lipid values permitting estimated flight ranges of 140 to 400 km, a range less than that potentially covered in 1 d by shearwaters searching for prey (440 to 1124 km d(-1)). Seasonal differences in body composition were most striking among body and bone marrow lipid contents, with the lowest values occurring during the die-off in fall 1997 and in fall 1998. The lack of shearwater mortality in fall 1998 may have resulted from more consistent winds that decreased flight costs and from greater availability of alternative fish prey. Our data allow estimates of usable energy stores and flight ranges based on lipid reserves in short-tailed shearwaters. Estimated flight ranges suggest that if feeding conditions are poor near Japan or near other termination points of the transequatorial migration routes shearwaters may have few reserves available to support foraging for food and starvation events may occur, Our findings suggest how their energetic strategies and migration are shaped by seasonal and annual variability of prey during transglobal movements of short-tailed shearwaters between oceanic regions.</t>
  </si>
  <si>
    <t>Univ Calif Irvine, Dept Ecol &amp; Evolutionary Biol, Irvine, CA 92697 USA; Univ Wyoming, Dept Zool, Laramie, WY 82071 USA</t>
  </si>
  <si>
    <t>University of California System; University of California Irvine; University of Wyoming</t>
  </si>
  <si>
    <t>Baduini, CL (corresponding author), Claremont Coll, Joint Sci Dept, Claremont, CA 91711 USA.</t>
  </si>
  <si>
    <t>cbaduini@jsd.claremont.edu</t>
  </si>
  <si>
    <t>Hunt, George/V-9423-2019</t>
  </si>
  <si>
    <t>Hunt, George/0000-0001-8709-2697</t>
  </si>
  <si>
    <t>10.3354/meps222265</t>
  </si>
  <si>
    <t>WOS:000172516300023</t>
  </si>
  <si>
    <t>Nejstgaard, JC; Naustvoll, LJ; Sazhin, A</t>
  </si>
  <si>
    <t>Correcting for underestimation of microzooplankton grazing in bottle incubation experiments with mesozooplankton</t>
  </si>
  <si>
    <t>Calanus finmarchicus; Calanus helgolandicus; microzooplankton; grazing methods; clearance; ingestion; faecal pellet production; natural plankton; bottle effect</t>
  </si>
  <si>
    <t>COCCOLITHOPHORE EMILIANIA-HUXLEYI; ZOOPLANKTON FEEDING ECOLOGY; PARTICULATE ORGANIC-CARBON; SUB-ANTARCTIC COPEPODS; CALANUS-FINMARCHICUS; COASTAL WATERS; FECAL PELLETS; ACARTIA-TONSA; ST-LAWRENCE; EPIFLUORESCENCE MICROSCOPY</t>
  </si>
  <si>
    <t>Bottle incubation experiments are widely used in mesozooplankton grazing studies. However, we have shown here that traditional particle removal experiments with Calanus finmarchicus and C. helgolandicus as grazers on natural plankton may yield low or even statistically significant (p &lt; 0.05) negative grazing estimates, even though negative grazing rates are impossible. Low grazing rates are often reported, especially on smaller prey types, despite abundant food and significant egg production. Microzooplankton, such as ciliates, show higher biomass-specific grazing rates on algae than do copepods and other mesozooplankton, Instead, copepods, often selectively feed on the microzooplankton. Thus, apparent negative rates would be expected when the release of microzooplankton grazing pressure outweighs the copepod grazing rates on the same food items in the incubation bottle. We show that this potentially large bias increases with microzooplankton community grazing pressure in the control. A simplified general method to correct for this bias is presented and compared with the original method (Nejstgaard et al. 1997, Mar Ecol Prog Ser 147:197-217). Although complexity and the need for taxonomic accuracy are reduced in the general method, the results are not significantly different between the 2 methods. Both methods also show a good fit with ingestion rates estimated from faecal pellet production. We suggest that the general method be combined with automated sample treatment in future studies. In addition, we argue that carefully estimated faecal volume production provides a simple and quick overall feeding estimate with important advantages over the common gut pigment technique, and it may be used as an independent method in bottle incubation experiments.</t>
  </si>
  <si>
    <t>Univ Bergen, Bergen High Technol Ctr, Dept Fisheries &amp; Marine Biol, N-5020 Bergen, Norway; Inst Marine Res, Flodevigen Res Stn, N-4817 His, Norway; RAS, PP Shirshov Oceanol Inst, Moscow 117851, Russia</t>
  </si>
  <si>
    <t>University of Bergen; Institute of Marine Research - Norway; Russian Academy of Sciences; Shirshov Institute of Oceanology</t>
  </si>
  <si>
    <t>Nejstgaard, JC (corresponding author), Univ Bergen, Bergen High Technol Ctr, Dept Fisheries &amp; Marine Biol, POB 7800, N-5020 Bergen, Norway.</t>
  </si>
  <si>
    <t>jens.nejstgaard@ifm.uib.no</t>
  </si>
  <si>
    <t>Nejstgaard, Jens/ABB-8903-2020</t>
  </si>
  <si>
    <t>Nejstgaard, Jens/0000-0003-1236-0647</t>
  </si>
  <si>
    <t>1616-1599</t>
  </si>
  <si>
    <t>10.3354/meps221059</t>
  </si>
  <si>
    <t>496EF</t>
  </si>
  <si>
    <t>WOS:000172382700006</t>
  </si>
  <si>
    <t>Charrassin, JB; Bost, CA</t>
  </si>
  <si>
    <t>Utilisation of the oceanic habitat by king penguins over the annual cycle</t>
  </si>
  <si>
    <t>habitat use; foraging; king penguins; diving; sea temperature; thermocline; predictability; Southern Ocean</t>
  </si>
  <si>
    <t>SEA-SURFACE TEMPERATURES; ANTARCTIC POLAR FRONT; MARGINAL ICE-ZONE; APTENODYTES-PATAGONICUS; SOUTHERN-OCEAN; CROZET ARCHIPELAGO; COMMUNITY STRUCTURE; FORAGING HABITAT; MYCTOPHID FISHES; DIVING BEHAVIOR</t>
  </si>
  <si>
    <t>The distribution and behaviour of foraging seabirds depend on the physical features of the ocean at different time and space scales, but little is known for penguins. We investigated the foraging behaviour of king penguins in relation to oceanographic features over the birds' complete annual cycle. A total of 44 birds was followed between 1994 and 1997 at the Crozet Islands to monitor foraging habitat, diving behaviour, and sea temperature of the water column, using satellite-tracking and time-temperature-depth recorders (TDR) carried by the birds, The study included breeding in summer, the winter period of chick raising, and the post-moult period in spring. King penguins foraged in 2 specific regions in response to the seasonal changes in local prey availability. In summer, satellite-tracked birds during the incubating and brooding stages (n = 14) preferentially exploited the polar front located 340 to 450 km to the south of their breeding site. TDR-equipped birds (n = 12) also foraged at the polar front in summer as indicated by the vertical temperature profiles. In autumn and winter, satellite tracks (n = 8) and sea temperature measurements of TDR-equipped birds (n = 8) showed that birds with creching chicks instead foraged in antarctic waters, with 70% of individuals reaching the latitude of the pack-ice limit (1600 km from the colony). This suggests better prey availability than in the polar frontal zone at that time. When the birds were at the latitude of the polar front, the thickness of the surface mixed layer (SML) ranged from 80 m in summer to 140 m in winter, the SML temperature was similar to4 degreesC and the thermocline had a mean maximum gradient of similar to0.5 degreesC for each 10 m depth. When the birds were at their most southerly position, the depth of the SML ranged from 100 m in autumn to similar to 150 m in winter, while its temperature ranged from -0.8 to 2 degreesC. The temperature gradient of the thermocline showed an inversion in autumn, and this gradient was positive in winter (mean maximum gradient of 0.3 degreesC for each 10 m depth). Except for spring birds (n = 4) and for 1 winter bird, where the SML exceeded the diving range, all TDR-equipped penguins (n = 19) dived preferentially in and below the depth of the thermocline, thereby minimising diving in the SML. Therefore, their prey may have been predictably concentrated below the SML through oceanographic processes. In king penguins, the strategy of going south could then have evolved in relation to the thinning of the SML towards the south at any time of the year.</t>
  </si>
  <si>
    <t>CNRS, Ctr Ecol &amp; Physiol Energet, F-67087 Strasbourg, France</t>
  </si>
  <si>
    <t>Universites de Strasbourg Etablissements Associes; Universite de Strasbourg; Centre National de la Recherche Scientifique (CNRS)</t>
  </si>
  <si>
    <t>Charrassin, JB (corresponding author), Museum Natl Hist Nat, Lab Ocean Phys, 43 Rue Cuvier, F-75231 Paris 05, France.</t>
  </si>
  <si>
    <t>jbc@mnhn.fr</t>
  </si>
  <si>
    <t>10.3354/meps221285</t>
  </si>
  <si>
    <t>WOS:000172382700024</t>
  </si>
  <si>
    <t>Reay, DS; Priddle, J; Nedwell, DB; Whitehouse, MJ; Ellis-Evans, JC; Deubert, C; Connelly, DP</t>
  </si>
  <si>
    <t>Regulation by low temperature of phytoplankton growth and nutrient uptake in the Southern Ocean</t>
  </si>
  <si>
    <t>nitrate; ammonium; iron; limitation; inhibition; HNLC regions</t>
  </si>
  <si>
    <t>INORGANIC NITROGEN UPTAKE; EQUATORIAL PACIFIC-OCEAN; ANTARCTIC PHYTOPLANKTON; NITRATE UPTAKE; BRANSFIELD-STRAIT; SEA-WATER; SACCHAROMYCES-CEREVISIAE; MARINE-PHYTOPLANKTON; EMILIANIA-HUXLEYI; IRON LIMITATION</t>
  </si>
  <si>
    <t>During oceanographic cruises in 1996 and 1998, phytoplankton from 15 stations in the southwest Atlantic sector of the Southern Ocean were incubated at ambient temperature and 2 elevated temperatures (ambient plus 3 degreesC, and ambient plus 6 degreesC). Rates of growth, nutrient depletion, N-15-nitrate uptake and nutrient interaction were all studied. Microalgal growth rate showed a strong positive relationship to temperature elevation, indicating ambient temperatures were sub-optimal for the phytoplanktonic community as a whole. Ratios of silicate uptake to chlorophyll a increase were high at ambient temperatures and showed a strong negative relationship with temperature elevation. Nitrate uptake rates, measured by 15N-nitrate incorporation, showed a consistent trend of increased uptake rate at elevated temperature. Specific nitrate-depletion rates, N-15-nitrate uptake rates, and the f ratio all showed an inverse relationship to increasing ammonium concentration. The results of this study imply that ambient temperature, in addition to direct iron limitation, is important in the maintenance of the high nutrient, low chlorophyll conditions common to the Southern Ocean.</t>
  </si>
  <si>
    <t>Univ Essex, Dept Biol Sci, Colchester CO4 3SQ, Essex, England; British Antarctic Survey, NERC, Cambridge CB3 0ET, England; Univ Southampton, Southampton Oceanog Inst, Southampton SO14 3ZH, Hants, England</t>
  </si>
  <si>
    <t>University of Essex; UK Research &amp; Innovation (UKRI); Natural Environment Research Council (NERC); NERC British Antarctic Survey; University of Southampton; NERC National Oceanography Centre</t>
  </si>
  <si>
    <t>Univ Essex, Dept Biol Sci, Wivenhoe Pk, Colchester CO4 3SQ, Essex, England.</t>
  </si>
  <si>
    <t>nedwd@essex.ac.uk</t>
  </si>
  <si>
    <t>Whitehouse, Martin J/E-1425-2013; Reay, David/F-4054-2010</t>
  </si>
  <si>
    <t>Reay, Dave/0000-0001-5829-9007</t>
  </si>
  <si>
    <t>10.3354/meps219051</t>
  </si>
  <si>
    <t>480AY</t>
  </si>
  <si>
    <t>WOS:000171439300005</t>
  </si>
  <si>
    <t>Brockington, S; Peck, LS</t>
  </si>
  <si>
    <t>Seasonality of respiration and ammonium excretion in the Antarctic echinoid Sterechinus neumayeri</t>
  </si>
  <si>
    <t>aerobic scope; metabolic rate; nitrogen excretion; O : N ratio; oxygen consumption; sea urchin; Polar winter</t>
  </si>
  <si>
    <t>BRACHIOPOD LIOTHYRELLA-UVA; NITROGEN-EXCRETION; OXYGEN-CONSUMPTION; SUMMER METABOLISM; ENERGY-METABOLISM; FEEDING-ACTIVITY; ZOOPLANKTON; TEMPERATURE; MITOCHONDRIA; PATTERNS</t>
  </si>
  <si>
    <t>Oxygen consumption (MO2) and ammonium excretion rates were recorded monthly over 2 yr for the regular Antarctic echinoid Sterechinus neumayeri to investigate metabolic activity in relation to seasonal food limitation (i.e. phytoplankton standing stock) at Adelaide Island (67 degrees 34 'S, 68 degrees 07 'W), Phytoplankton standing stock showed a brief but intense summer bloom and extended winter minima characteristic of Antarctic nearshore localities, Metabolic data were expressed for a standard sea urchin of 24.4 mm horizontal test diameter (this was the mean size of urchins used in the study). Two geographically close populations were studied, and strong seasonality was observed in MO2 at both sites, Mean austral winter minimal metabolic rates were 0.46 and 0.65 mu mol O-2 standard ind.(-1) h(-1) in 1997 and 1998 respectively at the main study site (North Cove), Mean winter oxygen-consumption rates at the second site (South Cove) were consistently lower throughout the study period (0.33 and 0.58 mu mol O-2 standard ind.(-1) h(-1) in 1997 and 1998 respectively), which coincided with reduced gonad mass in sea urchins from this site, The minimal winter metabolic rates persisted for 7 and 6 mo respectively. Changes in the organic mass (ash-free dry mass, AFDM) of a standard individual were also recorded mainly due to differences in reproductive condition, but also to seasonal accumulation and metabolic use of body reserves, Energy liberated by loss of AFDM in the winter period equated to a metabolic use of 64 to 432 J mo(-1), whereas winter MO2 values indicated a metabolic use of 102 to 180 J mo(-1), Maximal summer MO2 recorded was 1.44 and 1.62 mu mol O-2 standard ind.(-1) h(-1) in the 1997/98 and 1998/99 summers respectively, indicating a factorial increase over winter oxygen consumption rates of x3.1 and x2.5. Rapid metabolic increases occurred at the end of the winter, and were closely coincident with the onset of the phytoplankton bloom despite S, neumayeri being a deposit feeder. These MO2 rates are amongst the lowest reported for echinoids. Ammonium excretion followed a similar seasonal cycle, with peak rates of 262 and 415 nmol NH4+ standard ind.(-1) h-1 during the 1997/98 and 1998/99 suninier seasons, contrasting with winter minimum values of 81 and 72 nmol NH4+ standard ind.(-1) h(-1) in 1997 and 1998. Echinoids are ammonotelic, and O:N ratios varied between 7 and 26 during the study period, Lowest values, indicating protein-based metabolism, were found at the immediate start of the austral summer. O:N ratios gradually increased during the summer and following winter, as lipid and carbohydrate became more important in fuelling metabolism. However, even at the highest ratios (similar to 25), protein still accounted for 50% of the metabolic substrate, The strong metabolic seasonality indicated by these data suggest that the generalistic deposit-feeding strategy employed by S. neumayei does not exempt this species from the intense seasonal cycle of food availability (i.e. chlorophyll standing stock) at Antarctic nearshore locations.</t>
  </si>
  <si>
    <t>sbro@bas.ac.uk</t>
  </si>
  <si>
    <t>10.3354/meps219159</t>
  </si>
  <si>
    <t>WOS:000171439300013</t>
  </si>
  <si>
    <t>Guinet, C; Dubroca, L; Lea, MA; Goldsworthy, S; Cherel, Y; Duhamel, G; Bonadonna, F; Donnay, JP</t>
  </si>
  <si>
    <t>Spatial distribution of foraging in female Antarctic fur seals Arctocephalus gazella in relation to oceanographic variables:: a scale-dependent approach using geographic information systems</t>
  </si>
  <si>
    <t>Antarctic fur seal; diet; oceanographic conditions; foraging; geographic information system</t>
  </si>
  <si>
    <t>PREDATOR-PREY INTERACTIONS; SOUTHERN ELEPHANT SEALS; TRACKED KING PENGUINS; SURFACE TEMPERATURES; SATELLITE TRACKING; CROZET ARCHIPELAGO; KERGUELEN-ISLANDS; SEABIRDS; OCEAN; RESOURCES</t>
  </si>
  <si>
    <t>The distribution of foraging activity for female Antarctic fur seals was investigated at Cap Noir (49 degrees 07 'S, 70 degrees 45 'E), Kerguelen Island in February 1998. Eleven females were fitted with a satellite transmitter and time-depth recorder. The 2 data sets were combined in order to locate diving activity of the seals. The occurrence of fish in the diet of the seals was investigated by the identification of otoliths in 55 scats collected at the breeding colony during the study period. Oceanographic variables were measured simultaneously by direct sampling and satellite remote sensing. The mesopelagic fish community was sampled at 20 stations along 4 transects, where epipelagic trawls were conducted at night at 50 ni depth. We then investigated, using geographic information systems, the relationship between the spatial distribution of diving activity of the seals and oceanographic variables (sea surface temperature, surface chlorophyll concentration, prey distribution and bathymetry) at the same spatio-temporal scale. An inverse relationship was found between the main fish species preyed on by the fur seals and those sampled in trawl nets. However, diving activity of the seals was significantly related to oceanographic conditions, forage fish distribution and distance from the colony, although these relationships changed with the spatial scale investigated, A probabilistic model was developed for the distribution of diving activity, which predicted where females,should concentrate their foraging activity according to the oceanographic conditions of the year, and where breeding colonies should be located.</t>
  </si>
  <si>
    <t>CNRS, Ctr Etude Biol Chize, F-79360 Villiers En Bois, France; Univ Tasmania, Dept Zool, Antarctic Wildlife Res Unit, Hobart, Tas 7001, Australia; Museum Natl Hist Nat, Ichtyol Gen &amp; Appl Lab, F-75231 Paris 05, France; Univ Liege, Dept Geomat, Lab Surfaces, B-4000 Liege, Belgium</t>
  </si>
  <si>
    <t>Centre National de la Recherche Scientifique (CNRS); University of Tasmania; Museum National d'Histoire Naturelle (MNHN); University of Liege</t>
  </si>
  <si>
    <t>CNRS, Ctr Etude Biol Chize, F-79360 Villiers En Bois, France.</t>
  </si>
  <si>
    <t>guinet@cebc.cnrs.fr</t>
  </si>
  <si>
    <t>Bonadonna, Francesco/0000-0002-2702-5801; Goldsworthy, Simon/0000-0003-4988-9085; Lea, Mary-Anne/0000-0001-8318-9299</t>
  </si>
  <si>
    <t>10.3354/meps219251</t>
  </si>
  <si>
    <t>Green Published, Bronze, Green Accepted</t>
  </si>
  <si>
    <t>WOS:000171439300021</t>
  </si>
  <si>
    <t>Pueschel, CM; Korb, RE</t>
  </si>
  <si>
    <t>Storage of nitrogen in the form of protein bodies in the kelp Laminaria solidungula</t>
  </si>
  <si>
    <t>nitrogen storage; Laminaria solidungula; algae; protein bodies; arctic</t>
  </si>
  <si>
    <t>VEGETATIVE CELLS; SEASONAL GROWTH; RHODOPHYTA; PHAEOPHYTA; LONGICRURIS; TEMPERATURE; PATTERNS; CARBON</t>
  </si>
  <si>
    <t>Proteinaceous cytoplasmic inclusions with characteristic anatomical localization patterns are common in marine algae, but the function of these cell structures has not been demonstrated. Thalli of the endemic Arctic kelp Laminaria solidungula J. Agardh, cultured under N-replete conditions and examined by light and electron microscopy, were found to have a variety of cellular inclusions. One type of inclusion was shown by cytochemical methods to be proteinaceous. The protein bodies were 1 to 10 mum in diameter, had a single bounding membrane, and occurred singly or in large clusters in cells of the cortex, Intact proteinaceous inclusions were absent from N-starved thalli, although structures presumed to be depleted protein bodies had an anatomical distribution comparable to that of the protein bodies in the N-replete algae. These findings on Laminaria solidungula provide the first experimental evidence in support of the hypothesis that proteinaceous cellular inclusions in marine macroalgae constitute a nitrogen store that, like the stores of nitrate and amino acids accumulated by many algae, could be utilized during seasons when nitrate concentrations in the water column are low but when photosynthetic carbon fixation must be maximized.</t>
  </si>
  <si>
    <t>SUNY Binghamton, Dept Biol Sci, Binghamton, NY 13902 USA; British Antarctic Survey, Cambridge CB3 0ET, England</t>
  </si>
  <si>
    <t>State University of New York (SUNY) System; State University of New York (SUNY) Binghamton; UK Research &amp; Innovation (UKRI); Natural Environment Research Council (NERC); NERC British Antarctic Survey</t>
  </si>
  <si>
    <t>SUNY Binghamton, Dept Biol Sci, Binghamton, NY 13902 USA.</t>
  </si>
  <si>
    <t>curtp@binghamton.edu</t>
  </si>
  <si>
    <t>10.3354/meps218107</t>
  </si>
  <si>
    <t>474XN</t>
  </si>
  <si>
    <t>WOS:000171132300009</t>
  </si>
  <si>
    <t>Jackson, GD; Moltschaniwskyj, NA</t>
  </si>
  <si>
    <t>Temporal variation in growth rates and reproductive parameters in the small near-shore tropical squid Loliolus noctiluca;: is cooler better?</t>
  </si>
  <si>
    <t>statoliths; age; growth rates; squid; reproduction</t>
  </si>
  <si>
    <t>LOLIGO-FORBESI CEPHALOPODA; LIFE-HISTORY; AGE; LOLIGINIDAE; TEMPERATURE; MATURATION; STRATEGIES; VULGARIS; RECRUITMENT; EURYHALINE</t>
  </si>
  <si>
    <t>Seasonal growth rates and size- and age-at-maturity were analysed for the small nearshore tropical loliginid squid Loliolus noctiluca off North Queensland, Australia, over a period of 2 yr. Age of individuals was determined using daily statolith increments. The life cycle of L. noctiluca off North Queensland was just over 4 mo, Analysis of growth found that growth was non-asymptotic, and the form of the curve; exponential, linear or log-linear, depended on sex and season that individuals were caught. Winter-caught individuals were the fastest growing and achieved the largest size compared with summer or autumn-caught individuals. Furthermore, females grew faster than males during the winter. The patterns of growth of L. noctiluca were compared between tropical North Queensland and temperate New South Wales. The temperate individuals lived longer and had slower growth rates, There was also a marked seasonal influence on the onset of sexual maturity among the North Queensland population, with the fastest growing winter-caught individuals maturing later than the autumn or summer individuals. L noctiluca has a large latitudinal range from New Guinea to Tasmania, this study, and published work, suggests a trend towards increased lifespan and decreased growth rate with increasing latitude.</t>
  </si>
  <si>
    <t>Univ Tasmania, Inst Antarctic &amp; So Ocean Studies, Hobart, Tas 7001, Australia; Univ Tasmania, Sch Aquaculture, Tasmanian Aquaculture &amp; Fisheries Inst, Launceston, Tas 7250, Australia</t>
  </si>
  <si>
    <t>Univ Tasmania, Inst Antarctic &amp; So Ocean Studies, POB 252-77, Hobart, Tas 7001, Australia.</t>
  </si>
  <si>
    <t>george.jackson@utas.edu.au</t>
  </si>
  <si>
    <t>Moltschaniwskyj, Natalie/AAB-7236-2019; Moltschaniwskyj, Natalie/D-2048-2012; Jackson, George D/AAI-7315-2021</t>
  </si>
  <si>
    <t>Moltschaniwskyj, Natalie/0000-0001-9709-9876</t>
  </si>
  <si>
    <t>10.3354/meps218167</t>
  </si>
  <si>
    <t>WOS:000171132300014</t>
  </si>
  <si>
    <t>Goldsworthy, SD; He, X; Tuck, GN; Lewis, M; Williams, R</t>
  </si>
  <si>
    <t>Trophic interactions between the Patagonian toothfish, its fishery, and seals and seabirds around Macquarie Island</t>
  </si>
  <si>
    <t>patagonian toothfish; seabirds; seals; dietary overlap; trophic interactions; prey consumption; commercial fisheries; Macquarie Island</t>
  </si>
  <si>
    <t>ANTARCTIC FUR SEALS; PENGUINS PYGOSCELIS-PAPUA; PRION PACHYPTILA-DESOLATA; ROYAL EUDYPTES-SCHLEGELI; SOUTH-SHETLAND-ISLANDS; PRINCE-EDWARD-ISLANDS; HEARD-ISLAND; FOOD-CONSUMPTION; MARINE RESOURCES; MIROUNGA-LEONINA</t>
  </si>
  <si>
    <t>Macquarie Island is a small subantarctic island that supports a variety of breeding seabird and marine mammal populations, A fishery targeting the Patagonian toothfish Dissostichus elegenoides was established around the island in 1994. For ecological sustainable development (ESD) of the fishery, this study investigated the trophic interactions based on diet composition and annual consumption between Patagonian tooth-fish, its fishery, and seals and seabirds within the Macquarie Island Exclusive Economic Zone (MI-EEZ). Annual consumption rates for each predator were estimated from dietary data (mostly published sources), energetic budgets, prey energy content, and population size. Results indicated little predation on toothfish by seals or seabirds, or prey competition between toothfish and other marine predators. The greatest dietary overlap with toothfish was with gentoo penguins (21 % dietary overlap) and southern elephant seals (19 %). These overlaps in diet were small relative to those among fur seals (3 species, greater than or equal to 90 %), giant petrels (84 %), royal and rockhopper penguins (65 %), and king and royal penguins and fur seals (&gt; 60 %). The total annual prey biomass consumed by seabirds, seals, toothfish and the fishery within the MI-EEZ was estimated to be 419 774 t, with the greatest consumption in January, at 2779 t d(-1). Pelagic fish (61 %, mostly myctophids), followed by pelagic crustaceans (28 %, mostly euphausids) and cephalopods (7 %) were the major prey, Most prey biomass was consumed by penguins (88 %), with comparatively small amounts by toothfish (8 %), seals (3 %) other seabirds (&lt;1 %) and the fishery (0.1 %). These results indicate weak trophic linkages between the toothfish, its fishery, and seabirds and seals around Macquarie Island.</t>
  </si>
  <si>
    <t>CSIRO, Marine Res, Hobart, Tas 7001, Australia; Australian Antarctic Div, Kingston, Tas 7050, Australia</t>
  </si>
  <si>
    <t>Commonwealth Scientific &amp; Industrial Research Organisation (CSIRO); Australian Antarctic Division</t>
  </si>
  <si>
    <t>Goldsworthy, SD (corresponding author), La Trobe Univ, Dept Zool, Bundoora, Vic 3086, Australia.</t>
  </si>
  <si>
    <t>s.goldsworthy@zoo.latrobe.edu.au</t>
  </si>
  <si>
    <t>Tuck, Geoffrey N/E-2356-2012</t>
  </si>
  <si>
    <t>Goldsworthy, Simon/0000-0003-4988-9085</t>
  </si>
  <si>
    <t>10.3354/meps218283</t>
  </si>
  <si>
    <t>WOS:000171132300024</t>
  </si>
  <si>
    <t>Marsh, AG; Cohen, S; Epifanio, CE</t>
  </si>
  <si>
    <t>Larval energy metabolism and physiological variability in the Asian shore crab Hemigrapsus sanguineus</t>
  </si>
  <si>
    <t>larvae; physiology; life history; Hemigrapsus sanguineus; lactate dehydrogenase; respiration</t>
  </si>
  <si>
    <t>MARINE INVERTEBRATE EMBRYOS; ANTARCTIC SEA-URCHIN; LACTATE-DEHYDROGENASE; PLANKTONIC LARVAE; ENZYME-ACTIVITIES; LIFE-CYCLES; EGG SIZE; GROWTH; METAMORPHOSIS; ADVANTAGES</t>
  </si>
  <si>
    <t>Larvae of the Asian shore crab Hemigrapsus sanguineus were reared in the laboratory during zoeal development (Stages I to V, similar to 15 d at 25 degreesC and 30 parts per thousand S). Measurements of respiration rates, lactate dehydrogenase activity (LDH) and total protein content were made daily on individual larvae (n = 181) in order to assess the level of individual variance in energy metabolism during development. On average, zoeal development in H. sanguineus was estimated to require 43.8 J of metabolic energy to reach a megalope stage; however, the level of individual variance in metabolic rates resulted in a range of 23.8 to 67.9 J (similar to3-fold difference). LDH specific activities also evidenced a wide range in individual values during development (12 to 785 muU mug(-1) protein). Although respiration rates were correlated with LDH specific activity (r(2) = 0.628), it is more interesting to note the negative correlation between the variance in these measurements (r(2) = 0.796), indicating a substantial degree of individual differences in metabolic activities among these larvae. At present, phenotypic variations in physiological rate processes are not considered in life-history models of larval development, which could be an important variable determining the survival and dispersal of a larval cohort.</t>
  </si>
  <si>
    <t>Univ Delaware, Coll Marine Studies, Lewes, DE 19958 USA</t>
  </si>
  <si>
    <t>University of Delaware</t>
  </si>
  <si>
    <t>Marsh, AG (corresponding author), Univ Delaware, Coll Marine Studies, Lewes, DE 19958 USA.</t>
  </si>
  <si>
    <t>amarsh@udel.edu</t>
  </si>
  <si>
    <t>10.3354/meps218303</t>
  </si>
  <si>
    <t>WOS:000171132300025</t>
  </si>
  <si>
    <t>Nel, DC; Lutjeharms, JRE; Pakhomov, EA; Ansorge, IJ; Ryan, PG; Klages, NTW</t>
  </si>
  <si>
    <t>Exploitation of mesoscale oceanographic features by grey-headed albatross Thalassarche chrysostoma in the southern Indian Ocean</t>
  </si>
  <si>
    <t>albatross; foraging ecology; diet; oceanography</t>
  </si>
  <si>
    <t>PRINCE-EDWARD-ISLANDS; PENGUIN APTENODYTES-PATAGONICUS; ANTARCTIC CIRCUMPOLAR CURRENT; CONVERGENCE ZONE SOUTH; COMMUNITY STRUCTURE; KING PENGUIN; MARINE-ENVIRONMENT; POLAR FRONT; AFRICA; VARIABILITY</t>
  </si>
  <si>
    <t>Breeding grey-headed albatross Thalassarche chrysostoma, tracked from Marion Island (Prince Edward Islands) during November-December 1997 and January-February 1998, showed a strong association with mesoscale oceanographic features, as identified by sea surface height anomalies, in the southern Indian Ocean. During incubation, most birds foraged to the north of the island, at the edges of anomalies created by the Agulhas Return Current in the Subtropical Convergence and the Subantarctic zones. In contrast, during chick-rearing all tracked birds foraged to the southwest of the island, at the edges of anomalies along the South-West Indian Ridge. Previous work in this area has shown that these anomalies are in fact eddies that are created as the Antarctic Circumpolar Current crosses the South-West Indian Ridge. Diet samples taken during the chick-rearing period showed a predominance of fresh specimens of the predatory fish Magnisudis prionosa and the squid Martialia hyadesi. Myctophid fish and amphipods Themisto gaudichaudii, both known prey of M. hyadesi, were also well represented in our samples. Diet samples taken from tracked birds showed birds feeding at edges of positive anomalies returning with fresh specimens of M. prionosa and M. hyadesi. Predatory fish and squid are thus presumably concentrated at these features. Eddies formed at the South-West Indian Ridge have also been shown to drift closer to Marion Island, within the foraging range of penguins and seals breeding on Marion Island. We therefore suggest that these mesoscale oceanographic features may be an important component of the 'life-support' system enabling globally significant populations of seabirds and seals to breed at the Prince Edward Islands.</t>
  </si>
  <si>
    <t>Univ Cape Town, Percy Fitzpatrick Inst, ZA-7701 Rondebosch, South Africa; Univ Cape Town, Dept Oceanog, ZA-7701 Rondebosch, South Africa; Rhodes Univ, Dept Zool &amp; Entomol, So Ocean Grp, ZA-6140 Grahamstown, South Africa; Port Elizabeth Museum Bayworld, ZA-6013 Humewood, South Africa</t>
  </si>
  <si>
    <t>University of Cape Town; University of Cape Town; Rhodes University</t>
  </si>
  <si>
    <t>Univ Cape Town, Percy Fitzpatrick Inst, ZA-7701 Rondebosch, South Africa.</t>
  </si>
  <si>
    <t>dnel@botzoo.uct.ac.za</t>
  </si>
  <si>
    <t>Bond, Alexander L/A-3786-2010; ANSORGE, ISABELLE/AAY-7396-2020</t>
  </si>
  <si>
    <t>Ansorge, Isabelle/0000-0001-7071-8147; Ryan, Peter/0000-0002-3356-2056</t>
  </si>
  <si>
    <t>10.3354/meps217015</t>
  </si>
  <si>
    <t>469AL</t>
  </si>
  <si>
    <t>WOS:000170790300002</t>
  </si>
  <si>
    <t>Gurney, LJ; Froneman, PW; Pakhomov, EA; McQuaid, CD</t>
  </si>
  <si>
    <t>Trophic positions of three euphausiid species from the Prince Edward Islands (Southern Ocean): implications for the pelagic food web structure</t>
  </si>
  <si>
    <t>sub-Antarctic euphausiids; feeding ecology; diet; stable isotopes; Prince Edward Islands</t>
  </si>
  <si>
    <t>MARGINAL ICE-ZONE; STABLE ISOTOPES; ARCTIC LAKE; ZOOPLANKTON; INSIGHTS; PATHWAYS; AMPHIPOD; FISHES; DIET; N-15</t>
  </si>
  <si>
    <t>The relative trophic positions of Euphausia vallentini (juveniles and adults), E. longirostris (adults) and Nematoscelis megalops (adults) were investigated using samples collected in the vicinity of the Prince Edward archipelago during austral autumn (April/May) of 1998 on voyage 87 of the MV 'SA Agulhas'. Gut content analysis and stable nitrogen isotope measurements (delta N-15) were performed on the same individuals. For comparative purposes, nitrogen isotope ratios of the copepod Calanus simillimis, the hyperid amphipod Themisto gaudichaudi and the fish Ceratoscopelus warmingi were also analysed. The results of the gut content analysis for E. vallentini juveniles showed that there was a high contribution of phytoplankton to the diet. Stable nitrogen isotope analysis supported this and indicated that E. vallentini juveniles occupied a similar trophic position to that of the copepod (mean delta N-15 values of 2.38 and 1.72 parts per thousand respectively). E. vallentini adults were found to be omnivorous, but the contribution of carnivory to the diet was difficult to determine. High phytoplankton and low mesozooplankton contributions to the diet from the gut content analysis suggested a predominantly herbivorous diet, However, the stable nitrogen isotope results showed that E. vallentini adults were closely grouped with T. gaudichaudi (mean delta N-15 values of 3.66 and 4.13 parts per thousand respectively), indicating a high degree of omnivory and a relatively large heterotrophic contribution to the diet. Irrespective of the degree of carnivory, a dietary shift with an increase in size was evident for this species. The gut content analysis of E. longirostris showed that this species consumed large amounts of both phytoplankton and metazoan prey. However, the stable nitrogen isotope analysis indicated a high degree of carnivory (mean delta N-15 = 6.88 parts per thousand). Although the gut content analysis showed that N. megalops had a lower contribution of mesozooplankton to the diet compared to that of E. longirostris, the Stable isotope analysis showed that these 2 species occupied a similar position (N. megalops mean delta N-15 = 6.83 parts per thousand). The findings of this study support findings in the literature and show that E. vallentini juveniles are herbivorous and N. megalops adults are carnivorous. However, adults of E, vallentini and E. longirostris appear to have higher contributions of heterotrophic carbon to their diets than has been assumed and may occupy higher trophic positions than initially predicted.</t>
  </si>
  <si>
    <t>Rhodes Univ, Dept Zool &amp; Entomol, So Ocean Grp, ZA-6140 Grahamstown, South Africa; Univ Ft Hare, Dept Zool, ZA-5700 Alice, South Africa</t>
  </si>
  <si>
    <t>Rhodes University; University of Fort Hare</t>
  </si>
  <si>
    <t>Gurney, LJ (corresponding author), Rhodes Univ, Dept Zool &amp; Entomol, So Ocean Grp, POB 94, ZA-6140 Grahamstown, South Africa.</t>
  </si>
  <si>
    <t>leighgurney@hotmail.com</t>
  </si>
  <si>
    <t>McQuaid, Christopher/AAT-3725-2020; Froneman, William/GLS-0460-2022; Froneman, William/C-9085-2012</t>
  </si>
  <si>
    <t>McQuaid, Christopher/0000-0002-3473-8308; Froneman, William/0000-0003-0615-1355;</t>
  </si>
  <si>
    <t>10.3354/meps217167</t>
  </si>
  <si>
    <t>WOS:000170790300015</t>
  </si>
  <si>
    <t>Murphy, EJ; Reid, K</t>
  </si>
  <si>
    <t>Modelling Southern Ocean krill population dynamics: biological processes generating fluctuations in the South Georgia ecosystem</t>
  </si>
  <si>
    <t>ecosystem; krill; ocean; model; population dynamics; predators; diet data; interannual; variability; allochthonous; Southern Ocean</t>
  </si>
  <si>
    <t>SEALS ARCTOCEPHALUS-GAZELLA; EUPHAUSIA-SUPERBA DANA; ANTARCTIC KRILL; INTERANNUAL VARIABILITY; SCOTIA SEA; ICE EXTENT; ABUNDANCE; PREDATORS; DIET; GROWTH</t>
  </si>
  <si>
    <t>Variability is a key feature of the pelagic ecosystems of the Southern Ocean and an important aspect of the variation is fluctuation in the abundance of krill Euphausia superba Dana, the major prey item of many of the higher predators. Direct impacts of variability in the large-scale physical environment, such as changes in ocean circulation, have been suggested as the main factor generating the observed fluctuations, So far, however, there has been little quantitative assessment of the importance of krill population dynamics in the observed variation. Here, analyses of a model of krill population development and predator diet data from South Georgia have been used to examine seasonal changes in the population structure of krill. The krill population model was combined with a size-based selection function and used to generate expected length-frequency distributions in the predator diet through a summer season. Comparison of the model solutions with the predator diet data indicates that the model can reproduce the observed pattern of variation and emphasizes that adult population changes are a key aspect of the interannual fluctuations observed during some years. Low krill abundance was associated with reduced representation of the 3+ age group (3 to 4 yr old), whereas when krill were abundant the 3+ age class was the major age group present. The seasonal changes in the population structure in the predator diet involve a complex interaction of relative year class strength, timing of immigration, fluctuations in growth rates and dynamic predator-selective effects, Development of the model to examine the interactive effects of changing krill growth and mortality rates will be a valuable next step. The dominance of the changes in krill population age structure underlines the fact that to understand the variability of the South Georgia ecosystem we must identify the major factors generating variability in population dynamics throughout the Scotia Sea.</t>
  </si>
  <si>
    <t>British Antarctic Survey, Nat Environm Res Council, Cambridge CB3 OET, England</t>
  </si>
  <si>
    <t>Murphy, EJ (corresponding author), British Antarctic Survey, Nat Environm Res Council, High Cross,Madingley Rd, Cambridge CB3 OET, England.</t>
  </si>
  <si>
    <t>e.murphy@bas.ac.uk</t>
  </si>
  <si>
    <t>murphy, eugene/GZL-1620-2022</t>
  </si>
  <si>
    <t>10.3354/meps217175</t>
  </si>
  <si>
    <t>WOS:000170790300016</t>
  </si>
  <si>
    <t>Timmermans, KR; Davey, MS; van der Wagt, B; Snoek, J; Geider, RJ; Veldhuis, MJW; Gerringa, LJA; de Baar, HJW</t>
  </si>
  <si>
    <t>Co-limitation by iron and light of Chaetoceros brevis, C-dichaeta and C-calcitrans (Bacillariophyceae)</t>
  </si>
  <si>
    <t>marine diatoms; iron; light; co-limitation; growth rates; fluorescence; cell size; chaetoceros calcitrans; C. brevis; C. dichaeta</t>
  </si>
  <si>
    <t>SOUTHERN-OCEAN; PHYTOPLANKTON PHOTOSYNTHESIS; GROWTH; AVAILABILITY; PRODUCTIVITY; DISSOCIATION; 0-DEGREES-C; SEAWATER; BIOMASS; DIATOMS</t>
  </si>
  <si>
    <t>The interaction between iron and light limitation was investigated in 3 marine diatom species: 2 Antarctic diatom isolates, Chaetoceros brevis and C. dichaeta, and an isolate from temperate waters, C. calcitrans. In C. calcitrans and C. brevis, grown in the laboratory using trace metal buffered medium, both iron and light limitation affected growth rates, cellular chlorophyll a fluorescence, spinal index (i.e., the number and size of spines) and cell size. Growth rates and cell size declined at lower iron concentrations and lower light intensities. Cellular chlorophyll a fluorescence increased with lower light, but decreased due to iron limitation, The spinal index, based on the ratio of side scatter to forward scatter, increased in iron- and light-limited cells, The large diatom C. dichaeta, grown in natural Southern Ocean water (without ethelenediaminetetraace tic acid [EDTA]) showed qualitatively similar responses to co-limitation by iron and light. C. dichaeta only grew under long-day light conditions, This response was further modified by the availability of iron, Addition of iron resulted in higher growth rates. In contrast, ambient iron concentrations did not limit the growth rate of the small Antarctic diatom C. brevis, However, iron limitation could be induced by addition of the natural iron binding ligand desferrioxamine B (DFOB). Addition of iron to Fe-depleted cultures of C. dichaeta and C. brevis reversed the effects of DFOB, as evidenced by rapid increases (within 24 h) in photochemical quantum efficiency (F-v/F-m) and decreases in effective absorption of the cros-section of photosystem II (sigma (PSII)), the turnover time of the photosynthetic unit (tau) and the electron transfer rate (1/ tau), followed by an increase in growth rates after 48 h. The interactions between iron and light in Antarctic diatoms are sufficient to explain the observation that in the Southern Ocean some species (i.e., the small C, brevis) thrive under low iron and low light conditions, whereas other species (i.e., the large C. dichaeta) can bloom only under conditions of relatively high iron concentrations and favorable high light intensities or a long-day light period. These differences in physiological responses will have consequences for primary production, the carbon cycle and biogeochemical cycles.</t>
  </si>
  <si>
    <t>Netherlands Inst Sea Res, Dept Marine Chem &amp; Geol, NL-1790 AB Den Burg, Texel, Netherlands; Marine Biol Assoc United Kingdom Lab, Plymouth PL1 2PB, Devon, England</t>
  </si>
  <si>
    <t>Utrecht University; Royal Netherlands Institute for Sea Research (NIOZ); Marine Biological Association United Kingdom</t>
  </si>
  <si>
    <t>Timmermans, KR (corresponding author), Netherlands Inst Sea Res, Dept Marine Chem &amp; Geol, POB 59, NL-1790 AB Den Burg, Texel, Netherlands.</t>
  </si>
  <si>
    <t>klaas@nioz.nl</t>
  </si>
  <si>
    <t>timmermans, klaas/0000-0002-3214-4354</t>
  </si>
  <si>
    <t>10.3354/meps217287</t>
  </si>
  <si>
    <t>WOS:000170790300024</t>
  </si>
  <si>
    <t>Chiba, S; Ishimaru, T; Hosie, GW; Fukuchi, M</t>
  </si>
  <si>
    <t>Spatio-temporal variability of zooplankton community structure off east Antarctica (90 to 160°E)</t>
  </si>
  <si>
    <t>zooplankton; community structure; multivariate analysis; JARE; Antarctic Ocean; Antarctic Circumpolar Current</t>
  </si>
  <si>
    <t>KRILL EUPHAUSIA-SUPERBA; WESTERN WEDDELL SEA; MARGINAL ICE-ZONE; FOOD-WEB; MESOSCALE DISTRIBUTION; CALANUS-PROPINQUUS; CALANOIDES-ACUTUS; SOUTHERN-OCEAN; SCOTIA SEA; COPEPODS</t>
  </si>
  <si>
    <t>Spatio-temporal variability of zooplankton community structure off east Antarctica (90 to 160 degrees E) was studied from 1988 to 1996 based on samples collected by the Japanese icebreaker 'Shirase', Three community groups with distinctive species compositions were obtained by cluster analysis. Group 1 was defined as the 'Subantarctic community' because it appeared exclusively north of the Polar Front, and indicator species of the group included Eucalanus longiceps and Limacina retroversa, which are typical subantarctic species. Groups 2a and 2b occurred in the Antarctic Circumpolar Current (ACC), and are thus defined as the 'ACC communities'. All indicator species for Group 2b, including large copepods, Calanoides acutus, Calanus propinquus and Metridia gerlachei, were also common indicators for Group 2a. In Group 2a, smaller copepods (small calanoids, cyclopoids and poecilostomatoids) and non-copepod herbivores were also indicators. Total abundance was markedly high in Group 2a, and copepods numerically dominated all 3 groups (&gt;70% in Group 1, &gt;80 % in 2a, &gt;90 % in 2b). The longitudinal distribution pattern of Groups 2a and 2b varied between years, although they occurred along the same latitude. Multiple-regression analysis on environmental variables and distribution of the groups demonstrated that Group 2a tended to occur in relatively warm water masses with high chlorophyll a and low silicate concentrations. While Group 2b occurred in colder areas with low chlorophyll a concentrations, the results of this study suggest that the occasional intrusion of northern water further south caused by meandering of the ACC might have been responsible for the observed distribution patterns of the zooplankton community.</t>
  </si>
  <si>
    <t>Frontier Res Syst Global Change, Kanazawaku, Yokohamashi 2360001, Japan; Tokyo Univ Fisheries, Tokyo 1058477, Japan; Australian Antarctic Div, Kingston, Tas 7050, Australia</t>
  </si>
  <si>
    <t>Japan Agency for Marine-Earth Science &amp; Technology (JAMSTEC); Tokyo University of Marine Science &amp; Technology; Australian Antarctic Division</t>
  </si>
  <si>
    <t>Chiba, S (corresponding author), Frontier Res Syst Global Change, 3173-25 Showamachi, Kanazawaku, Yokohamashi 2360001, Japan.</t>
  </si>
  <si>
    <t>chibas@jamstec.go.jp</t>
  </si>
  <si>
    <t>10.3354/meps216095</t>
  </si>
  <si>
    <t>462AF</t>
  </si>
  <si>
    <t>WOS:000170395500008</t>
  </si>
  <si>
    <t>Atkinson, A; Whitehouse, MJ; Priddle, J; Cripps, GC; Ward, P; Brandon, MA</t>
  </si>
  <si>
    <t>South Georgia, Antarctica: a productive, cold water, pelagic ecosystem</t>
  </si>
  <si>
    <t>Southern Ocean; South Georgia; pelagic ecosystem; food web; Antarctic krill; zooplankton; phytoplankton; nutrients; island effects</t>
  </si>
  <si>
    <t>MARGINAL ICE-ZONE; KRILL EUPHAUSIA-SUPERBA; SEALS ARCTOCEPHALUS-GAZELLA; WEDDELL-SCOTIA CONFLUENCE; COPEPOD ACARTIA-TONSA; ICEFISH CHAMPSOCEPHALUS-GUNNARI; WESTERN BRANSFIELD STRAIT; PRINCE EDWARD ISLANDS; POLAR FRONTAL ZONE; FUR SEALS</t>
  </si>
  <si>
    <t>The South Georgia region is characterised by high biomass and productivity of phytoplankton, zooplankton and vertebrate predators, Important commercial fisheries have been based at the island since the late 1700s, initially exploiting seals and whales, and currently taking krill Euphausia superba and finfish. Despite studies dating from the beginning of the last century, the causes of the high productivity remain unclear. The island lies within the Antarctic Zone of the Antarctic Circumpolar Current, to the south of the Polar Front. The offshore waters to its north and east are affected by a northwards deflection of the Southern Antarctic Circumpolar Current Front, together with waters from the Weddell-Scotia Confluence, Despite a retentive circulation over the shelf, the high productivity of phytoplankton and copepods is widespread, occurring far downstream and possibly extending to the Polar Front. High phytoplankton concentrations (&gt; 20 mg chlorophyll a m(-3)) may be linked to enhanced supply of iron or reduced forms of nitrogen (up to similar to3 mmol ammonium m(-3)). Although macronutrients are generally not limiting in the Antarctic Zone, silicate concentrations of &lt; 1 mmol m(-3) are growth-limiting at South Georgia in some summers, The growth season is long and blooms of &gt; 2 mg chl a m(-3) occur for 4 to 5 mo. Biomass of krill plus net-caught zooplankton in summer is around 15 to 20 g dry mass m(-2), equally dominated by krill and copepods. This greatly exceeds typical values for Antarctica, and is high compared to productive northern shelves, Zooplankton, and in particular krill, appear to have a pivotal role in regulating energy flow in this food web, through selective grazing and possibly also through nutrient regeneration. Abundances of krill and copepods are negatively related across a wide range of scales, suggesting direct interaction through competition or predation. Evidence suggests that when phytoplankton stocks are low, energy flow through krill is maintained by their feeding on the large populations of small copepods. Metazoans and higher predators at South Georgia can feed across several trophic levels according to prey abundance, and they regenerate substantial quantities of reduced nitrogen. Therefore we suggest that these groups have a controlling influence an lower trophic levels, both stabilising population sizes and maintaining high rates of energy flow. Hydrography, nutrient concentrations, phytoplankton, copepod, and krill biomasses fluctuate between years. Periodically (once or twice a decade), shortages of krill in summer result in breeding failures among many of their predators, This appears to be a downstream effect from wider scale, Scotia Sea phenomena, although the processes involved are unclear. The elevated biomass and energy flows at South Georgia appear to be caused by locally enhanced growth rates; there is no evidence so far for any physical concentration mechanism. Even for krill, which do not breed there, local growth rates are probably of a similar order to the biomass removed by their main land-based predators in summer. Thus the transfer of energy to higher predators depends on local enhancement of fluxes through the food web as well as the supply of plankton to the island by the Antarctic Circumpolar Current.</t>
  </si>
  <si>
    <t>aat@pcmail.nerc-bas.ac.uk</t>
  </si>
  <si>
    <t>Atkinson, Angus/HOH-3417-2023; Whitehouse, Martin J/E-1425-2013; Brandon, Mark A/A-5804-2010</t>
  </si>
  <si>
    <t>Brandon, Mark/0000-0002-7779-0958</t>
  </si>
  <si>
    <t>10.3354/meps216279</t>
  </si>
  <si>
    <t>WOS:000170395500023</t>
  </si>
  <si>
    <t>King, CK; Riddle, MJ</t>
  </si>
  <si>
    <t>Effects of metal contaminants on the development of the common Antarctic sea urchin Sterechinus neumayeri and comparisons of sensitivity with tropical and temperate echinoids</t>
  </si>
  <si>
    <t>Antarctic; contaminant; metals; exposure; sensitivity; toxicity test; echinoid; development; Sterechinus neumayeri</t>
  </si>
  <si>
    <t>BENTHIC MARINE POLLUTION; MCMURDO-STATION; MYTILUS-EDULIS; LARVAE; SEDIMENTS; EGGS; ECHINODERMATA; ENVIRONMENT; TOXICITY; CADMIUM</t>
  </si>
  <si>
    <t>A toxicity test was developed to examine the effects of metal contaminants on the sensitive early Life history stages of the common Antarctic echinoid Sterechinus neumayeri (Meissner). Embryos and larvae of the sea urchin were exposed to the metals copper, cadmium, zinc and lead, and the effects of each metal on development to hatched blastulae after 6 to 8 d, and to 2-arm plutei after 20 to 23 d were monitored. These metals are common in Antarctic marine environments and are often found at elevated levels at sites subject to anthropogenic inputs. For all metals tested, the longterm test to the 2-arm pluteus stage was more sensitive than the short-term test. Copper was the metal most toxic to developing embryos and larvae of S, neumayeri with EC50s of 11.4 mug l(-1) and 1.4 mug l(-1) following 6 to 8 d and 20 to 23 d exposure respectively. Exposure to cadmium at concentrations greater than 2 mg l(-1) caused a significant decrease in the proportion of embryos developing normally to hatched blastulae (EC50 = 6.9 mg l(-1)) and concentrations greater than 0.2 mg l(-1), caused a decrease in normal 2-arm plutei. EC50 values calculated for zinc were 2230 and 326.8 mug l(-1) for the short- and long-term tests respectively. Lead had no effect on development of embryos following 7 d exposure at all concentrations tested (up to 3.2 mg l(-1)). As the concentration of Cu shown to inhibit development of S. neumayeri is similar to levels found at impacted sites in Antarctic nearshore environments, results of this study indicate that this metal may have an impact on the development of S. neumayeri. The sensitivity of S, neumayeri to copper and cadmium in tests based on development to hatched blastulae (6 to 8 d) are generally comparable to results of tests on echinoids from tropical and temperate regions that use development to 2-arm plutei (2 to 4 d) as the end-point. However, the Antarctic species is more sensitive to copper and cadmium than the tropical and temperate species if the tests are continued to the same stage of development, the pluteus larva (20 to 23 d for the Antarctic species). Comparing the tolerance of a key developmental stage common to all planktotrophic sea urchins may be more ecologically relevant than simply comparing exposure over a fixed period of time, because for an embryo to survive to adulthood it must successfully complete all development stages. This is the first reported evidence that Antarctic species could be more sensitive to contaminants than species from warmer regions.</t>
  </si>
  <si>
    <t>Australian Antarctic Div, Kingston, Tas 7050, Australia; Univ Sydney, Sch Biol Sci, Sydney, NSW 2006, Australia</t>
  </si>
  <si>
    <t>Australian Antarctic Division; University of Sydney</t>
  </si>
  <si>
    <t>Riddle, MJ (corresponding author), Australian Antarctic Div, Channel Highway, Kingston, Tas 7050, Australia.</t>
  </si>
  <si>
    <t>martin.riddle@antdiv.gov.au</t>
  </si>
  <si>
    <t>King, Catherine K/G-7059-2017</t>
  </si>
  <si>
    <t>King, Catherine K/0000-0003-3356-0381</t>
  </si>
  <si>
    <t>10.3354/meps215143</t>
  </si>
  <si>
    <t>450JX</t>
  </si>
  <si>
    <t>WOS:000169739900013</t>
  </si>
  <si>
    <t>Phillips, KL; Jackson, GD; Nichols, PD</t>
  </si>
  <si>
    <t>Predation on myctophids by the squid Moroteuthis ingens around Macquarie and Heard Islands:: stomach contents and fatty acid analyses</t>
  </si>
  <si>
    <t>squid; lipid; digestive gland; diet; triacylglycerol; monounsaturated fatty acids; Southern Ocean</t>
  </si>
  <si>
    <t>DIACYL GLYCERYL ETHERS; DIFFERENT TISSUES; APTENODYTES-PATAGONICUS; BERRYTEUTHIS-MAGISTER; LIVER LIPIDS; WAX ESTERS; DIET; ONYCHOTEUTHIDAE; CEPHALOPODA; FISHES</t>
  </si>
  <si>
    <t>The diet of the sub-Antarctic onychoteuthid squid Moroteuthis ingens was assessed using stomach contents analyses and fatty acids as dietary tracers. The contents of 54 stomachs (50 from squid collected near Macquarie Island and 4 from squid collected near Heard Island) were examined visually, and prey remains were identified to species level where possible. Myctophid fish were the most common prey item in the stomach contents of M, ingens and were identified in 59 % of stomachs. In total, teleost fish remains were found in 96 % of stomachs. The lipid class and fatty acid profiles of the digestive gland and mantle tissue were analysed for 5 to 6 squid from each area, in addition to 4 stomach fluid samples taken from Heard Island animals. Mantle tissue was low in lipid, and contained high concentrations of phospholipids and polyunsaturated fatty acids. Digestive gland tissue had a high lipid content, with a mean value of 26.8 +/- 12.9 % wet mass in Macquarie Island squid and 41.7 +/- 8.5 % wet mass in Heard Island squid, and was rich in triacylglycerol (TAG) and monounsaturated fatty acids (MUFA). Stomach fluid generally contained high concentrations of TAG, although 1 sample was high in wax ester. Stomach fluid was also characterised by high MUFA concentrations. The digestive gland of M, ingens grouped with the fatty acid profile of stomach fluid and some myctophid species in cluster analysis and multidimensional scaling, and appears to be a source of fatty acid dietary tracers. Thus the fatty acid profile of the digestive gland supports findings from stomach contents analyses that myctophids, particularly TAG-rich species, are an important prey group of M, ingens at Macquarie and Heard Islands. This combination of techniques has a potential to increase our knowledge of the feeding ecology of squids in the Southern Ocean.</t>
  </si>
  <si>
    <t>Univ Tasmania, Inst Antarctic &amp; So Ocean Studies, Hobart, Tas 7001, Australia; CSIRO, Div Marine Res, Hobart, Tas 7001, Australia; Univ Tasmania, Antarctic CRC, Hobart, Tas 7001, Australia</t>
  </si>
  <si>
    <t>University of Tasmania; Commonwealth Scientific &amp; Industrial Research Organisation (CSIRO); University of Tasmania</t>
  </si>
  <si>
    <t>Univ Tasmania, Inst Antarctic &amp; So Ocean Studies, GPO Box 252-77, Hobart, Tas 7001, Australia.</t>
  </si>
  <si>
    <t>katrina@postoffice.antcrc.utas.edu.au</t>
  </si>
  <si>
    <t>Nichols, Peter D/C-5128-2011; Jackson, George D/AAI-7315-2021</t>
  </si>
  <si>
    <t>10.3354/meps215179</t>
  </si>
  <si>
    <t>WOS:000169739900016</t>
  </si>
  <si>
    <t>Powell, DK; Tyler, PA; Peck, LS</t>
  </si>
  <si>
    <t>Effect of sperm concentration and sperm ageing on fertilisation success in the Antarctic soft-shelled clam Laternula elliptica and the Antarctic limpet Nacella concinna</t>
  </si>
  <si>
    <t>fertilisation success; Antarctica; reproduction; free-spawning; sperm concentration; sperm age; Laternula elliptica; Nacella concinna</t>
  </si>
  <si>
    <t>KING-GEORGE-ISLAND; URCHIN STRONGYLOCENTROTUS-FRANCISCANUS; ARENICOLA-MARINA L; FERTILIZATION SUCCESS; EMBRYONIC-DEVELOPMENT; POTTER COVE; TEMPERATURE; SEA; BIVALVE; LARVAE</t>
  </si>
  <si>
    <t>Sperm concentration and sperm ageing effects on fertilisation success were evaluated in the laboratory in the free-spawning Antarctic soft-shelled clam Laternula elliptica and Antarctic limpet Nacella concinna. Fertilisation success was highly dependent on sperm concentration. Highest levels of fertilisation success were consistently replicated at similar to 10(7) sperm ml(-1) for L. elliptica, and similar to 10(6) to 10(8) sperm ml(-1) for N. concinna. However, both species exhibited extremely low fertilisation rates at concentrations similar to 10(6) sperm ml(-1). At sperm concentrations similar to 10(6) sperm ml(-1) N, concinna displayed a rapid increase in abnormally developing larvae which, along with only a small decline in total fertilisation success above 10(8) sperm ml(-1), was taken to indicate polyspermy. A small increase in abnormal development followed by a rapid decline in fertilisation success at high sperm concentrations (&gt; 10(7) sperm ml(-1)) for L, elliptica was attributed to oxygen depletion. Using the optimum sperm concentration found for fertilisation success, spermatozoa were capable of fertilising fresh ova for &gt; 90 h in L. elliptica, and similar to 65 h in N. concinna. The sperm concentrations required for fertilisation success and sperm longevities reported here are at least an order of magnitude greater than those reported for nearshore temperate molluscs. Our data strongly suggest that the specific reproductive behaviour and timing of spawning activities displayed by these Antarctic molluscs is vital to enhance fertilisation success in the polar marine environment.</t>
  </si>
  <si>
    <t>Univ Southampton, Sch Ocean &amp; Earth Sci, Southampton Oceanog Ctr, Southampton SO14 3ZH, Hants, England; British Antarctic Survey, Cambridge CB3 0ET, England</t>
  </si>
  <si>
    <t>University of Southampton; NERC National Oceanography Centre; UK Research &amp; Innovation (UKRI); Natural Environment Research Council (NERC); NERC British Antarctic Survey</t>
  </si>
  <si>
    <t>Powell, DK (corresponding author), Univ Southampton, Sch Ocean &amp; Earth Sci, Southampton Oceanog Ctr, Southampton SO14 3ZH, Hants, England.</t>
  </si>
  <si>
    <t>dkp196@soton.ac.uk</t>
  </si>
  <si>
    <t>10.3354/meps215191</t>
  </si>
  <si>
    <t>WOS:000169739900017</t>
  </si>
  <si>
    <t>Lass, S; Tarling, GA; Virtue, P; Matthews, JBL; Mayzaud, P; Buchholz, F</t>
  </si>
  <si>
    <t>On the food of northern krill Meganyctiphanes norvegica in relation to its vertical distribution</t>
  </si>
  <si>
    <t>krill; Meganyctiphanes norvegica; diet; vertical migration; fatty acids; alcohols; sterols</t>
  </si>
  <si>
    <t>ICE DIATOM COMMUNITIES; EUPHAUSIA-SUPERBA; LIPID-COMPOSITION; FEEDING-BEHAVIOR; ANTARCTIC KRILL; SOUTH GEORGIA; SPRING BLOOM; M SARS; MIGRATION; SEA</t>
  </si>
  <si>
    <t>The feeding behaviour of northern krill (Meganyctiphanes norvegica) was studied in populations from the Clyde Sea and the Kattegat during summer and winter. The food spectrum in the stomachs was analysed using traditional taxonomic methods and biochemical techniques. The vertical migration behaviour of krill was monitored through a 30 h series of net samples, whilst the trophic environment was characterised through accompanying quantitative analyses on the depth distribution and biomass of copepods and phytoplankton. Krill was found to be more carnivorous in the Kattegat than in the Clyde Sea, which correlated with the higher ratio of copepod to phytoplankton biomass found in the Kattegat compared with the Clyde Sea. High levels of fatty alcohols and other lipid markers in the stomach contents of Kattegat krill were also indicative of a carnivorous diet. Other food sources included detritus, terrestrial material and other euphausiids, underlining the opportunistic nature of northern krill in its choice of prey items. Analyses of stomach and intestinal fullness over a diel cycle showed significant variations with time in the Clyde Sea but not in the Kattegat. However, a diel cycle in the rate of ingestion was evident at both locations when comparing the copepod mandibles in the stomachs to the distribution of copepods in the environment. The fact that deep-living Calanus was not a major prey item suggested that there was little feeding activity during the daytime, when the krill occupied the deeper layers. Instead. the majority of mandibles were from species that were dominant in the upper layers, e.g, the genera Temora and Pseudocalanus. The fact that kriIl caught in the daytime contained the same relative composition of mandibles in the stomach as those caught at night is probably explained by a cessation in daytime feeding activity and retention of the mandibles from the night before. It is proposed that krill in the Clyde Sea area and the Kattegat show a diel rhythm in feeding activity that is believed to be an adaptive response to minimising predation risk.</t>
  </si>
  <si>
    <t>Scottish Assoc Marine Sci, Oban PA34 5DH, Argyll, Scotland; Biol Anstalt Helgoland, Alfred Wegener Inst Polar &amp; Meeresforsch, Meeresstn, D-27483 Helgoland, Germany; Observ Oceanol, Lab Oceanog Biochim &amp; Ecol, F-06230 Villefranche Sur Mer, France; Univ Tasmania, Inst Antarctic &amp; So Ocean Studies, Hobart, Tas 7001, Australia</t>
  </si>
  <si>
    <t>UHI Millennium Institute; Helmholtz Association; Alfred Wegener Institute, Helmholtz Centre for Polar &amp; Marine Research; Sorbonne Universite; University of Tasmania</t>
  </si>
  <si>
    <t>Tarling, GA (corresponding author), Scottish Assoc Marine Sci, POB 3, Oban PA34 5DH, Argyll, Scotland.</t>
  </si>
  <si>
    <t>gant@dml.ac.uk</t>
  </si>
  <si>
    <t>Virtue, Patti/0000-0002-9870-1256</t>
  </si>
  <si>
    <t>10.3354/meps214177</t>
  </si>
  <si>
    <t>437DG</t>
  </si>
  <si>
    <t>WOS:000168974500017</t>
  </si>
  <si>
    <t>Wilson, PR; Ainley, DG; Nur, N; Jacobs, SS; Barton, KJ; Ballard, G; Comiso, JC</t>
  </si>
  <si>
    <t>Adelie penguin population change in the pacific sector of Antarctica: relation to sea-ice extent and the Antarctic Circumpolar Current</t>
  </si>
  <si>
    <t>Adelie penguin; population regulation; sea-ice extent; Southern Oscillation; Antarctic Circumpolar Current; climate change; Ross Sea; Pygoscelis adeliae</t>
  </si>
  <si>
    <t>ROSS SEA; VARIABILITY; TEMPERATURE; DYNAMICS; OCEAN; KRILL; RECRUITMENT; AMUNDSEN; SEABIRDS; TRENDS</t>
  </si>
  <si>
    <t>One of the longest continuing data sets involving a marine organism in the Antarctic is that of annual estimates of breeding population size of Adelie penguins Pygoscelis adeliae at colonies on Ross Island, Ross Sea, 1959 to 1997. The sizes of these colonies have displayed significant interannual variability during the 29-yr period. We hypothesized that changes are related to natural environmental factors; and used path analysis to analyze annual variation in population growth in relation to physical environmental factors during that part of the record with comparable sea-ice satellite imagery from 1973 to 1997. The Ross Sea sector of the Southern Ocean lying north of Ross Island, from 150 degreesE to 1300 W, comprised our study area. Annual population growth measured during summer was explained best, and inversely, by the extent of sea-ice in the study area 5 winters earlier, and in some way related to the Southern Oscillation. Analysis of a subset of the sea-ice data from 1979 to 1997 indicated strong correlations to ice conditions in the eastern portion of the study area (174 to 130 degreesW), and virtually no correlations to the western half (150 degreesE to 175 degreesW). This result supported other indirect evidence that the Ross Island penguins winter in the eastern Ross Sea/western Amundsen Sea. A demographic model indicated that variation in survival of juveniles and subadults might account for the observed population variation, and would also explain the 5-yr lag as 5 yr is the average age of recruitment to the summer breeding population. Extensive sea-ice during winter appears to reduce subadult survival, expressed subsequently when these cohorts reach maturation. We hypothesize that extensive (more northerly) sea-ice Limits access of penguins to productive waters known to occur south of the southern boundary of the Antarctic Circumpolar Current, with starvation or increased predation disproportionately affecting less-experienced birds. The observed patterns of penguin population change, including those preceding the satellite era, imply that sea-ice extent has changed significantly over recent decades.</t>
  </si>
  <si>
    <t>Landcare Res, Nelson, New Zealand; HT Harvey &amp; Associates, San Jose, CA 95118 USA; Point Reyes Bird Observ, Stinson Beach, CA 94970 USA; Lamont Doherty Earth Observ, Palisades, NY 10964 USA; NASA, Goddard Space Flight Ctr, Lab Proc Hydrospher Proc, Greenbelt, MD 20771 USA</t>
  </si>
  <si>
    <t>Landcare Research - New Zealand; Columbia University; National Aeronautics &amp; Space Administration (NASA); NASA Goddard Space Flight Center</t>
  </si>
  <si>
    <t>Landcare Res, Private Bag 6, Nelson, New Zealand.</t>
  </si>
  <si>
    <t>wilsonpr@landcare.cri.nz</t>
  </si>
  <si>
    <t>10.3354/meps213301</t>
  </si>
  <si>
    <t>432PP</t>
  </si>
  <si>
    <t>WOS:000168704100023</t>
  </si>
  <si>
    <t>Williams, A; Koslow, JA; Last, PR</t>
  </si>
  <si>
    <t>Diversity, density and community structure of the demersal fish fauna of the continental slope off western Australia (20 to 35° S)</t>
  </si>
  <si>
    <t>demersal fish; continental slope; western Australia; diversity; species richness; density; community structure; productivity</t>
  </si>
  <si>
    <t>ROUGHY HOPLOSTETHUS-ATLANTICUS; DEEP-SEA; NORTH-ATLANTIC; NEW-ZEALAND; ROCKALL TROUGH; ORANGE ROUGHY; SOUTHEASTERN AUSTRALIA; NORTHEASTERN ATLANTIC; FEEDING RELATIONSHIPS; SPECIES COMPOSITION</t>
  </si>
  <si>
    <t>The first survey of the continental-slope demersal fish fauna off the west coast of Australia - the region between latitudes 20 to 35 degrees S in depths from similar to 200 to 1500 m-was undertaken in 1991. Most species were caught rarely and only 14 species were represented by &gt;1% of individuals in the total catch. Collectively, the catches were dominated numerically by the Acropomatidae and Chlorophthalmidae at shelf-break and upper slope depths (similar to 200 to 600 m), and the Macrouridae, Bathygadidae, Synaphobranchidae, Alepocephalidae and Oreosomatidae at greater depths. Overall, the Macrouridae was both the most abundant and most species-rich family. The fauna appears to be richer (388 species from 109 families) than the slope faunas of the more intensively sampled North Atlantic and northern Pacific; its richness may be attributable to the overlap of ancient and extensive Indo-West Pacific and temperate Australasian faunas that extend from shelf to mid-slope depths. These faunas are maintained in the region by a variety of near-surface and intermediate-depth ocean currents that bathe the western slope. Seven distinct fish community types were defined by bathymetric and latitudinal boundaries: a northern and a southern shelf-break community; 2 depth-stratified communities on the upper-slope, and 3 communities defined by depth and latitude on the mid-slope. Ecotones between these communities at the 250 to 350 m and 700 to 800 m depth intervals coincide, respectively, with the lower Limits of the near-surface Leeuwin Current and the upper extent of Antarctic Intermediate Water. The composition of the mid-slope fauna in the southern part of the study area suggests it is part of a wide-ranging Australasian mid-slope community shared with the Great Australian Eight, southeastern Australia and New Zealand. There is progressive replacement by a northern fauna at all depths as latitude decreases along the west coast. The western slope fauna is characterised by low density as well as high diversity. Fish density was estimated to be several times lower than on the continental slope off southeastern Australia, and also lower than North Atlantic and northern Pacific slope regions. Low density is Likely to be related to low overlying productivity due to the absence of upwelling associated with the near-surface, southward-flowing Leeuwin Current. Low overlying productivity also appears to be linked to the ecological composition of the demersal fauna; it is characterised by many relatively small, benthic species, non-vertically migrating species, and a lack of aggregated large commercial fishes.</t>
  </si>
  <si>
    <t>CSIRO, Hobart, Tas 7001, Australia</t>
  </si>
  <si>
    <t>Williams, A (corresponding author), CSIRO, GPO Box 1538, Hobart, Tas 7001, Australia.</t>
  </si>
  <si>
    <t>alan.williams@marine.csiro.au</t>
  </si>
  <si>
    <t>Williams, Alan/C-6999-2012; Last, Peter R/B-9740-2009</t>
  </si>
  <si>
    <t>Williams, Alan/0000-0002-2867-7713;</t>
  </si>
  <si>
    <t>10.3354/meps212247</t>
  </si>
  <si>
    <t>420RH</t>
  </si>
  <si>
    <t>WOS:000168017600021</t>
  </si>
  <si>
    <t>Helbling, EW; Buma, AGJ; de Boer, MK; Villafañe, VE</t>
  </si>
  <si>
    <t>In situ impact of solar ultraviolet radiation on photosynthesis and DNA in temperate marine phytoplankton</t>
  </si>
  <si>
    <t>UV; phytoplankton; DNA; CPD; thymine dimers; photosynthesis inhibition; mid-latitudes</t>
  </si>
  <si>
    <t>EFFECTIVE UV-RADIATION; OZONE DEPLETION; ANTARCTIC PHYTOPLANKTON; B RADIATION; WATERS; INHIBITION; GROWTH; OCEAN</t>
  </si>
  <si>
    <t>In situ experiments were conducted at various depths in the water column to determine the impact of solar UV radiation (280 to 400 nm) upon photosynthesis and DNA of natural phytoplankton assemblages from mid-latitudes of Patagonia (Bahia Bustamante, Chubut, Argentina; 45 degreesS, 66.5 degreesW). The effects of UV radiation were significant at the surface; however, the impact decreased rapidly with depth: at 3 m there was no measurable DNA damage accumulation, whereas at 6 m photosynthetic inhibition was almost zero. UV-A radiation (315 to 400 nm) was mostly responsible for photosynthetic inhibition, while UV-B radiation (280 to 315 nm) had a lesser effect on this process. However, UV-B radiation was very effective in damaging the DNA through the formation of cyclobutane pyrimidine dimers (CPDs) in surface waters. The high initial CPD level found in the natural phytoplankton assemblage decreased when samples were incubated at 3 or 6 m, indicating that at these depths repair, dilution or disappearance of damage occurred. Phytoplankton assemblages were dominated by cells less than 2 mum in effective diameter; this cell size category seems to be more resistant to photosynthetic inhibition, but vulnerable to CPD accumulation, as compared with larger eukaryotic phytoplankters (i.e., Phaeodactylum sp.).</t>
  </si>
  <si>
    <t>Estac Fotobiol Playa Union, RA-9100 Trelew, Chubut, Argentina; Univ Groningen, Dept Marine Biol, NL-9750 AA Haren, Netherlands</t>
  </si>
  <si>
    <t>University of Groningen</t>
  </si>
  <si>
    <t>Estac Fotobiol Playa Union, Casilla Correos 153, RA-9100 Trelew, Chubut, Argentina.</t>
  </si>
  <si>
    <t>efpu@efpu.com.ar</t>
  </si>
  <si>
    <t>Buma, Anita GJ/E-8372-2015</t>
  </si>
  <si>
    <t>Villafane, Virginia/0000-0002-9552-6069</t>
  </si>
  <si>
    <t>10.3354/meps211043</t>
  </si>
  <si>
    <t>412NM</t>
  </si>
  <si>
    <t>WOS:000167561300004</t>
  </si>
  <si>
    <t>Hoyer, K; Karsten, U; Sawall, T; Wiencke, C</t>
  </si>
  <si>
    <t>Photoprotective substances in Antarctic macroalgae and their variation with respect to depth distribution, different tissues and developmental stages</t>
  </si>
  <si>
    <t>Antarctica; macroalgae; mycosporine-like amino acids; UV-absorbing compounds; UV radiation</t>
  </si>
  <si>
    <t>KING-GEORGE ISLAND; UV-ABSORBING COMPOUNDS; AMINO-ACID COMPOUNDS; ULTRAVIOLET-RADIATION; PHOTOSYNTHETIC CHARACTERISTICS; MARINE MACROALGAE; PRASIOLA-CRISPA; SOLAR-RADIATION; B RADIATION; POTTER COVE</t>
  </si>
  <si>
    <t>In this study the distribution pattern of UV-absorbing mycosporine-like amino acids (MAAS) was identified and quantified in Antarctic macroalgae and correlated with habitat as well as with the radiation climate in air and under water. In addition, specific amounts of MAAs from selected species collected at different depths, from different parts of the thallus and developmental stages were investigated. Seven different MAAs were detected in 17 out of 28 red algal species, whereas in all brown and 2 green algal species only traces of MAAs were found. In the green alga Prasiola crispa ssp. antarctica a high concentration of an unknown UV-absorbing substance with an absorption maximum at 324 nm was detected. MAA content was negatively correlated with water depth. Higher concentrations of UV-absorbing substances were found in the marginal tissues of thalli than in the basal parts. Tetrasporophytes and gametophytes;exhibited similar MAA values. After transplantation from deep to shallow water, the MAA content remained unchanged for 8 d after transplantation. The data presented indicate 3 physiologically different groups of algae in terms of MAA values: (1) species with no capability for MAA biosynthesis; (2) species with a basic MAA concentration which is adjusted relative to changes in environmental radiation; (3) species with a constant relatively high MAA composition and concentration irrespective of environmental conditions.</t>
  </si>
  <si>
    <t>Alfred Wegener Inst Polar &amp; Marine Res, D-27570 Bremerhaven, Germany</t>
  </si>
  <si>
    <t>Alfred Wegener Inst Polar &amp; Marine Res, Handelshafen 12, D-27570 Bremerhaven, Germany.</t>
  </si>
  <si>
    <t>khoyer@awi-bremerhaven.de</t>
  </si>
  <si>
    <t>10.3354/meps211117</t>
  </si>
  <si>
    <t>WOS:000167561300010</t>
  </si>
  <si>
    <t>Brierley, AS; Axelsen, BE; Buecher, E; Sparks, CAJ; Boyer, H; Gibbons, MJ</t>
  </si>
  <si>
    <t>Acoustic observations of jellyfish in the Namibian Benguela</t>
  </si>
  <si>
    <t>acoustics; Chrysaora hysoscella; Aequorea aequorea; multi-frequency; target strength; Benguela; jellyfish; Namibia</t>
  </si>
  <si>
    <t>TARGET-STRENGTH; AEQUOREA-VICTORIA; CHRYSAORA-QUINQUECIRRHA; PREDATION MORTALITY; UPWELLING SYSTEM; SOUND-SCATTERING; CHESAPEAKE BAY; FISH LARVAE; ZOOPLANKTON; ABUNDANCE</t>
  </si>
  <si>
    <t>Multi-frequency acoustic data (18, 38 and 120 kHz) were collected in conjunction with pelagic trawl sampling for gelatinous macrozooplankton during a cruise to the Namibian Benguela in September 1999. Sampling focused specifically on the scyphozoan Chrysaora hysoscella and the hydrozoan Aequorea aequorea, both of which occur in large numbers, are probably of major ecological importance, and physically hamper pelagic fishing and diamond extraction activities. C, hysoscella was detected predominantly at an inshore station and A. aequorea was found in greatest abundance further offshore in deeper water. Echo-sounder observations were linked directly to net catches, and relationships between catch density (number of individuals m(-3)) and nautical area scattering coefficients (SA) at each frequency were determined for both species in order to estimate target strength (TS) using the comparison method. TS for C, hysoscella (mean umbrella diameter 26.8 cm) was -51.5 dB at 18 kHz, -46.6 dB at 38 kHz and -50.1 dB at 120 kHz; for A. aequorea (mean central umbrella diameter 7.4 cm) TS was -68.1 dB at 18 kHz, -66.3 dB at 38 kHz and -68.5 dB at 120 kHz. These TS values compared favourably with previously published estimates for related species. Jellyfish were caught at high numerical densities (maxima 3 C. hysoscella per 100 m(3), 168 A. aequorea per 100 m(3)). These high densities, combined with the not unsubstantial TS at frequencies used for fisheries surveys, imply that jellyfish could potentially bias acoustic estimates of fish abundance. We suggest a simple multifrequency approach that could be used to discriminate between echoes from jellyfish and some commercially important pelagic fish in the northern Benguela ecosystem.</t>
  </si>
  <si>
    <t>British Antarctic Survey, Div Biol Sci, Cambridge CB3 0ET, England; Natl Informat &amp; Marine Res Ctr, Swakopmund, Namibia; Cape Technikon, Sch Life Sci, Dept Nat Conservat, Cape Town, South Africa; CNRS, Lab Oceanog Biol &amp; Ecol Plancton Marin, Stn Zool, F-06234 Villefranche Sur Mer, France; Univ Western Cape, Dept Zool, ZA-7535 Bellville, South Africa; Inst Marine Res, N-5817 Bergen, Norway</t>
  </si>
  <si>
    <t>UK Research &amp; Innovation (UKRI); Natural Environment Research Council (NERC); NERC British Antarctic Survey; Cape Peninsula University of Technology; Centre National de la Recherche Scientifique (CNRS); Sorbonne Universite; University of the Western Cape; Institute of Marine Research - Norway</t>
  </si>
  <si>
    <t>Brierley, AS (corresponding author), British Antarctic Survey, Div Biol Sci, High Cross,Madingley Rd, Cambridge CB3 0ET, England.</t>
  </si>
  <si>
    <t>a.brierley@bas.ac.uk</t>
  </si>
  <si>
    <t>Sparks, Conrad/AAQ-3307-2020; Sparks, Conrad/E-2768-2018; Gibbons, Mark/A-8806-2008; Brierley, Andrew/G-8019-2011</t>
  </si>
  <si>
    <t>Sparks, Conrad/0000-0001-9721-3544; Sparks, Conrad/0000-0001-9721-3544; Gibbons, Mark/0000-0002-8320-8151; Brierley, Andrew/0000-0002-6438-6892</t>
  </si>
  <si>
    <t>10.3354/meps210055</t>
  </si>
  <si>
    <t>405TE</t>
  </si>
  <si>
    <t>WOS:000167175000005</t>
  </si>
  <si>
    <t>Barnes, DKA; Arnold, R</t>
  </si>
  <si>
    <t>A growth cline in encrusting benthos along a latitudinal gradient within Antarctic waters</t>
  </si>
  <si>
    <t>benthos; Antarctic; growth; mortality; disturbance; cline</t>
  </si>
  <si>
    <t>ADAMUSSIUM-COLBECKI; SIGNY ISLAND; REPRODUCTION; BRYOZOANS; SEASONALITY; COMMUNITY; PATTERNS; ECOLOGY; SOUND; SEA</t>
  </si>
  <si>
    <t>Growth and mortality of 3 species (Inversiula nutrix, Celleporella bougainvillei, Fenestrulina rugula) of encrusting bryozoans were examined from 5 Antarctic localities, along a latitudinal gradient. Typically, growth in marine invertebrates is, for ecological equivalents, slower or much slower in cold seas than warm waters. Contrary to the general trend, growth rates of 3 bryozoans were found to accelerate with increasing latitude in Antarctic waters. Population age structure also showed a dramatic change across the 5 study sites (from 54 to 68 degrees S) through hugely increased mortality with increasing latitude. Reduction in inter-specific competition is theorised as explaining higher growth rates. Increased levels of ice scour are probably responsible for the differential mortality.</t>
  </si>
  <si>
    <t>Natl Univ Ireland Univ Coll Cork, Dept Zool &amp; Anim Ecol, Cork, Ireland; British Antarctic Survey, Cambridge CB3 0ET, England</t>
  </si>
  <si>
    <t>University College Cork; UK Research &amp; Innovation (UKRI); Natural Environment Research Council (NERC); NERC British Antarctic Survey</t>
  </si>
  <si>
    <t>Barnes, DKA (corresponding author), Natl Univ Ireland Univ Coll Cork, Dept Zool &amp; Anim Ecol, Cork, Ireland.</t>
  </si>
  <si>
    <t>dkab@ucc.ie</t>
  </si>
  <si>
    <t>10.3354/meps210085</t>
  </si>
  <si>
    <t>WOS:000167175000007</t>
  </si>
  <si>
    <t>Hamm, C; Reigstad, M; Riser, CW; Mühlebach, A; Wassmann, P</t>
  </si>
  <si>
    <t>On the trophic fate of Phaeocystis pouchetii.: VII.: Sterols and fatty acids reveal sedimentation of P-pouchetii-derived organic matter via krill fecal strings</t>
  </si>
  <si>
    <t>Phaeocystis; diatoms; krill; trophic fate; vertical flux; biomarkers</t>
  </si>
  <si>
    <t>NORTHERN NORWAY; VERTICAL FLUX; MEGANYCTIPHANES-NORVEGICA; ECOLOGICAL INVESTIGATIONS; ZOOPLANKTON COMMUNITY; THYSANOESSA-INERMIS; ANTARCTIC KRILL; MARINE DIATOMS; SPRING BLOOMS; BARENTS SEA</t>
  </si>
  <si>
    <t>As part of a joint project on the fate of phytoplankton in Balsfjorden in Northern Norway, we investigated the trophic fate and sedimentation potential of Phaeocystis pouchetii by tracing the transition of biomarker patterns from a phytoplankton bloom to sediment traps and during a gut-passage experiment. Thephytoplankton biomass during the spring bloom 1996 was dominated by colonial P. pouchetii (ca 85%) and 4 members of the diatom family Thalassiosiraceae (ca 10%). Particulate organic carbon in sediment traps largely consisted of fecal material from the Arctic krill Thysanoessa sp. Sterol and fatty acid biomarker patterns in the phytoplankton bloom could be reproduced by combining the individual biomarker patterns of the isolated phytoplankters P. pouchetii and Thalassiosira decipiens a ratio of ca 75:25. In a laboratory experiment, Arctic krill (Thysanoessa raschii) fed with similar efficiency on P. pouchetii colonies and the Thalassiosiraceae. During gut passage, the abundance of Thalassiosiraceae biomarkers in fecal strings increased relative to P. pouchetii biomarkers, while biomarkers from krill became dominant. This transition of biomarker patterns due to gut passage in T. raschii closely resembled the biomarker transition from the surface bloom to material in sediment traps at 40 to 170 m depth. which was mainly composed of krill fecal strings. We conclude that krill grazed efficiently on P. pouchetii colonies in Balsfjorden and caused sedimentation of P, pouchetii-derived organic matter below the euphotic zone via fecal strings. Hence, both transfer to higher trophic levels and sedimentation of Phaeocystis spp.-derived organic matter can be more effective than is commonly believed.</t>
  </si>
  <si>
    <t>Alfred Wegener Inst Polar &amp; Marine Res, D-27570 Bremerhaven, Germany; Univ Tromso, Norwegian Coll Fishery Sci, N-9037 Tromso, Norway</t>
  </si>
  <si>
    <t>Helmholtz Association; Alfred Wegener Institute, Helmholtz Centre for Polar &amp; Marine Research; UiT The Arctic University of Tromso</t>
  </si>
  <si>
    <t>Hamm, C (corresponding author), Alfred Wegener Inst Polar &amp; Marine Res, Handelshafen 12, D-27570 Bremerhaven, Germany.</t>
  </si>
  <si>
    <t>chamm@awi-bremerhaven.de</t>
  </si>
  <si>
    <t>Reigstad, Marit/AFL-8306-2022</t>
  </si>
  <si>
    <t>Reigstad, Marit/0000-0002-8592-7192; Hamm, Christian/0000-0002-5121-9542</t>
  </si>
  <si>
    <t>10.3354/meps209055</t>
  </si>
  <si>
    <t>399VR</t>
  </si>
  <si>
    <t>WOS:000166834500005</t>
  </si>
  <si>
    <t>Alonzo, SH; Mangel, M</t>
  </si>
  <si>
    <t>Survival strategies and growth of krill: avoiding predators in space and time</t>
  </si>
  <si>
    <t>habitat distribution; predation risk; life-history theory</t>
  </si>
  <si>
    <t>SOUTH-SHETLAND-ISLANDS; EUPHAUSIA-SUPERBA DANA; ANTARCTIC KRILL; VERTICAL-DISTRIBUTION; FEEDING-ACTIVITY; LIFE-HISTORY; GEORGIA; TEMPERATURE; SHRINKAGE; PENGUINS</t>
  </si>
  <si>
    <t>Although Antarctic krill live in a relatively harsh and variable environment, they are extremely abundant and occur across a wide geographic range. Krill are also the dominant prey item for a variety of predators ranging from fish to whales. Thus, krill Life histories and survival strategies represent an interesting and biologically relevant theoretical question: How do krill survive and what makes them so successful? The factors that influence krill size and spatial distributions and life-history patterns are not generally understood. We present a conceptual framework for studying krill life histories and patterns of distribution. This approach uses what is known about krill physiology and environmental conditions within an evolutionary framework to increase our understanding of hill distributions and abundance. Using a dynamic state-variable model, we determined the factors predicted to affect the distribution of krill among habitats and feeding behavior of krill. Habitats vary in their associated survival, predation risk, food availability, and metabolic costs. Existing data on variation in temperature, phytoplankton abundance, metabolic costs, growth rates and predator behavior are used to parameterize the model. The model predicts that krill will shrink when experiencing extreme temperatures or food deprivation (under negative energy budgets), but we also predict that krill may shrink due to predation risk (under positive energy budgets). Furthermore, predation patterns are predicted to strongly influence krill size and spatial distributions. If predation risk is size-dependent, krill are predicted to shrink between reproductive events which reduces predation. Differences between habitats in predation risk may cause krill, to shift away from risky habitats even if this slows growth. In the presence of predation risk when feeding, krill are predicted to experience a tradeoff between growth and survival and shift their feeding behavior and habitat distribution accordingly. Differences between habitats in water temperature and travel costs are also predicted to cause size-dependent shifts in habitat use and migration behavior. Our results reinforce the importance of predator behavior on krill life histories, growth, and distributions. Patterns of predation risk may be the key to understanding krill distribution in space, time and size.</t>
  </si>
  <si>
    <t>Univ Calif Santa Cruz, Dept Environm Studies, Santa Cruz, CA 95064 USA; Univ Calif Santa Cruz, Inst Marine Sci, Santa Cruz, CA 95064 USA</t>
  </si>
  <si>
    <t>University of California System; University of California Santa Cruz; University of California System; University of California Santa Cruz</t>
  </si>
  <si>
    <t>Alonzo, SH (corresponding author), Univ Calif Santa Cruz, Dept Environm Studies, Santa Cruz, CA 95064 USA.</t>
  </si>
  <si>
    <t>shalonzo@cats.ucsc.edu</t>
  </si>
  <si>
    <t>Alonzo, Suzanne/0000-0001-7757-0528</t>
  </si>
  <si>
    <t>10.3354/meps209203</t>
  </si>
  <si>
    <t>WOS:000166834500017</t>
  </si>
  <si>
    <t>Alonzo, F; Mayzaud, P; Razouls, S</t>
  </si>
  <si>
    <t>Egg production and energy storage in relation to feeding conditions in the subantarctic calanoid copepod Drepanopus pectinatus:: an experimental study of reproductive strategy</t>
  </si>
  <si>
    <t>Drepanopus pectinatus; egg production; energy reserves; food availability; limitation</t>
  </si>
  <si>
    <t>SUB-ANTARCTIC COPEPOD; MARINE COPEPODS; KERGUELEN ARCHIPELAGO; NEOCALANUS-TONSUS; HIGH-LATITUDES; LIPID-CONTENT; WAX ESTERS; FOOD; ZOOPLANKTON; PHYTOPLANKTON</t>
  </si>
  <si>
    <t>The egg production and the hatching success of Drepanopus pectinatus (Brady, 1883) was examined in relation to food availability. The spawning frequency did not change in relation to the concentration of phytoplankton with an interval time of 7.6 d between 2 broods. At least 1 egg sac was produced per female in almost all cases (&gt; 93 %) independent of the food level. The subsequent recruitment of breeding females was strongly influenced by feeding conditions: only 22 to 50 % of the starved females completed 3 successive breeding cycles, while 100% of the fed females did. The number of eggs per was also affected by the concentration of food, with a mean of 12 eggs per sac in starved females and 19.4 eggs per sac in fed females independent of the food level. Brood sizes increased significantly in the fourth breeding cycle to 35.3 eggs per sac in females fed a concentration of 1180 pg protein 1(-1). Egg-hatching time was constant, with an average of 6.7 d. To evaluate the relative roles of reproduction and of accumulation of energy reserves, we compared the production of eggs and the changes in the organic composition of females in various limiting food conditions. Brood size was influenced by both immediate and past trophic conditions, with the number of eggs per sac varying from 10.1 to 12.8. The content of the eggs was constant: 122 ng of protein and 234 ng of Lipids. In females, protein content was a good indicator of immediate feeding conditions, while lipids, dominated by wax esters, reflected both immediate and past feeding conditions. A low level of egg production was maintained throughout periods of nutritional Limitation or starvation. Subsequently, food was used to reduce the consumption of the energy reserves of females before being invested in reproduction, as observed at high food concentration.</t>
  </si>
  <si>
    <t>ESA, CNRS 7076, Observ Oceanol Oceanog Biochim &amp; Ecol, F-06230 Villefranche Sur Mer, France; Observ Oceanol, URA CNRS 117, Lab Arago, F-66630 Banyuls sur Mer, France</t>
  </si>
  <si>
    <t>Centre National de la Recherche Scientifique (CNRS); Sorbonne Universite</t>
  </si>
  <si>
    <t>Alonzo, F (corresponding author), ESA, CNRS 7076, Observ Oceanol Oceanog Biochim &amp; Ecol, BP 28, F-06230 Villefranche Sur Mer, France.</t>
  </si>
  <si>
    <t>alonzo@obs-vlfr.fr</t>
  </si>
  <si>
    <t>Alonzo, Frederic/0000-0002-7526-8058</t>
  </si>
  <si>
    <t>10.3354/meps209231</t>
  </si>
  <si>
    <t>WOS:000166834500019</t>
  </si>
  <si>
    <t>Marks, KM; Stock, JM</t>
  </si>
  <si>
    <t>Evolution of the Malvinas Plate South of Africa</t>
  </si>
  <si>
    <t>MARINE GEOPHYSICAL RESEARCHES</t>
  </si>
  <si>
    <t>Agulhas Basin; gravity anomalies; Late Cretaceous; Malvinas Plate; plate tectonics; reconstruction; South Atlantic Ocean</t>
  </si>
  <si>
    <t>AGULHAS BASIN; ATLANTIC; RECONSTRUCTIONS; KINEMATICS; ANOMALIES; HISTORY; RIDGE</t>
  </si>
  <si>
    <t>We confirm that a Malvinas Plate is required in the Agulhas Basin during the Late Cretaceous because: (1) oblique Mercator plots of marine gravity show that fracture zones generated on the Agulhas rift, as well as the Agulhas Fracture Zone, do not lie on small circles about the 33o-28y South America-Africa stage pole and were therefore not formed by South America-Africa spreading, (2) the 33o-28y South America-Africa stage rotation does not bring 33o magnetic anomalies on the Malvinas Plate into alignment with their conjugates on the African Plate, and (3) errors in the 33o-28y South America-Africa stage rotation cannot account for the misalignment. We present improved Malvinas-Africa finite rotations determined by interpreting magnetic anomaly data in light of fracture zones and extinct spreading rift segments (the Agulhas rift) that are clearly revealed in satellite-derived marine gravity fields covering the Agulhas Basin. The tectonic history of the Malvinas Plate is chronicled through gravity field reconstructions that use the improved Malvinas-Africa finite rotations and more recent South America-Africa and Antarctica-Africa finite rotations. Newly-mapped triple junction traces on the Antarctic, South American, Malvinas, and African Plates, combined with geometric and magnetic constraints observed in the reconstructions, enable us to investigate the locations of the elusive western and southern boundaries of the Malvinas Plate.</t>
  </si>
  <si>
    <t>NOAA, Lab Satellite Alimetry, Silver Spring, MD 20910 USA; CALTECH, Seismol Lab, Pasadena, CA 91125 USA</t>
  </si>
  <si>
    <t>National Oceanic Atmospheric Admin (NOAA) - USA; California Institute of Technology</t>
  </si>
  <si>
    <t>Marks, KM (corresponding author), NOAA, Lab Satellite Alimetry, Silver Spring, MD 20910 USA.</t>
  </si>
  <si>
    <t>Stock, Joann Miriam/AAN-1526-2021; Marks, Karen/F-5610-2010</t>
  </si>
  <si>
    <t>Stock, Joann Miriam/0000-0003-4816-7865; Marks, Karen/0000-0001-6524-1495</t>
  </si>
  <si>
    <t>0025-3235</t>
  </si>
  <si>
    <t>MAR GEOPHYS RES</t>
  </si>
  <si>
    <t>Mar. Geophys. Res.</t>
  </si>
  <si>
    <t>10.1023/A:1014638325616</t>
  </si>
  <si>
    <t>Geochemistry &amp; Geophysics; Oceanography</t>
  </si>
  <si>
    <t>532NN</t>
  </si>
  <si>
    <t>WOS:000174482100004</t>
  </si>
  <si>
    <t>Laberg, JS; Dahlgren, T; Vorren, TO; Haflidason, H; Bryn, P</t>
  </si>
  <si>
    <t>Seismic analyses of Cenozoic contourite drift development in the Northern Norwegian Sea</t>
  </si>
  <si>
    <t>Cenozoic; high-latitude; contourite drifts; Norwegian Sea</t>
  </si>
  <si>
    <t>TROUGH-MOUTH-FAN; CONTINENTAL-SHELF; NORTHWEST EUROPE; SEDIMENT DRIFTS; UPLIFT HISTORY; NORDIC SEAS; ATLANTIC; MARGIN; NORWAY; SLOPE</t>
  </si>
  <si>
    <t>Four drift accumulations have been identified on the continental margin of northern Norway; the Lofoten Drift, the Vesteralen Drift, the Nyk Drift and the Sklinnadjupet Drift. Based on seismic character these drifts were found to belong to two main groups; (1) mounded, elongated, upslope accretion drifts (Lofoten Drift, Vesteralen Drift and Nyk Drift), and (2) infilling drifts (Sklinnadjupet Drift). The drifts are located on the continental slope. Mainly surface and intermediate water circulation, contrary to many North Atlantic and Antarctic drifts that are related to bottom water circulation, and sediment availability have controlled their growth. Sediments were derived both from winnowing of the shelf and upper slope and from ice sheets when present on the shelf. The main source area was the Voring margin. This explains the high maximum average sedimentation rate of the nearby Nyk (1.2 m/ka) and Sklinnadjupet (0.5 m/ka) Drifts compared with the distal Lofoten (0.036 m/ka) and Vesteralen (0.060 m/ka) Drifts. The high sedimentation rate of the Nyk Drift, deposited during the period between the late Saalian and the late Weichselian is of the same order of magnitude as previously reported for glacigenic slope sediments deposited during glacial maximum periods only. The Sklinnadjupet Drift is infilling a paleo-slide scar. The development of the infilling drift was possible due to the available accommodation space, a slide scar acting as a sediment trap. Based on the formation of diapirs originating from the Sklinnadjupet Drift sediments we infer these sediments to have a muddy composition with relatively high water content and low density, more easily liquefied and mobilised compared with the glacigenic diamictons.</t>
  </si>
  <si>
    <t>Univ Tromso, Dept Geol, N-9037 Tromso, Norway; Univ Bergen, Dept Geol, N-5007 Bergen, Norway; Norsk Hydro AS, N-0246 Oslo, Norway</t>
  </si>
  <si>
    <t>UiT The Arctic University of Tromso; University of Bergen; Norsk Hydro ASA</t>
  </si>
  <si>
    <t>Laberg, JS (corresponding author), Univ Tromso, Dept Geol, N-9037 Tromso, Norway.</t>
  </si>
  <si>
    <t>5-6</t>
  </si>
  <si>
    <t>10.1023/A:1016347632294</t>
  </si>
  <si>
    <t>574AZ</t>
  </si>
  <si>
    <t>WOS:000176867300006</t>
  </si>
  <si>
    <t>Michels, KH; Rogenhagen, J; Kuhn, G</t>
  </si>
  <si>
    <t>Recognition of contour-current influence in mixed contourite-turbidite sequences of the western Weddell Sea, Antarctica</t>
  </si>
  <si>
    <t>Antarctica; channel levees; contourites; turbidites; contourite-turbidite interaction; drifts; multichannel seismic data; Parasound; Weddell Sea</t>
  </si>
  <si>
    <t>CURRENT-CONTROLLED SEDIMENTATION; CONTINENTAL RISE WEST; BOTTOM WATER; PACIFIC MARGIN; PENINSULA; BASIN; CHANNEL; SYSTEMS; DRIFTS; RECORD</t>
  </si>
  <si>
    <t>Sedimentary processes and structures across the continental rise in the western Weddell Sea have been investigated using sediment acoustic and multichannel seismic data, integrated with multibeam depth sounding and core investigations. The results show that a network of channels with associated along-channel ridges covers the upper continental slope. The seismic profiles reveal that the channels initially developed as erosive turbidite channels with associated levees on their northern side due to Coriolis force. Later they were partly or fully infilled, probably as a result of decreasing turbidite activity. Now the larger ones exist as erosive turbidite channels of reduced size, whereas the smaller ones are non-erosive channels, their shape being maintained by contour current activity. Drift bodies only developed where slumps caused a distinctive break in slope inclination on the upper continental rise, which served to initiate the growth of a drift body fed by contour currents or by the combined action of turbidites and contourites. The history of sedimentation can be reconstructed tentatively by correlation of seismo-stratigraphic units with the stages of evolution of the drifts on the western side of the Antarctic Peninsula. Three stages can be distinguished in the western Weddell Sea after a pre-drift stage, which is delimited by an erosional unconformity at the top: (1) a growth stage, dominated by turbidites, with occasional occurrence of slumps during its initial phase; (2) during a maintenance stage turbiditiy-current intensity (and presumably sedimentation rate also) decreased, probably as a result of the ice masses retreating from the shelf edge, and sedimentation became increasingly dominated by contour current activity; and (3) a phase of sheeted-sequence formation. A southward decrease in sediment thickness shows that the Larsen Ice Shelf plays an important role in sediment delivery to the western Weddell Sea. This study shows that the western Weddell Sea has some characteristics in common with the southern as well as the northwestern Weddell Sea: contour currents off the Larsen Ice Shelf have been present for a long time, probably since the late Miocene, but during times of high sediment input from the shelves as a result of advancing ice masses a channel-levee system developed and dominated over the contour-current transport of sediment. At times of relatively low sediment input the contour-current transport dominated, leading to the formation of drift deposits on the upper continental rise. Seaward of areas without shelf ice masses the continental rise mainly shows a rough topography with small channels and underdeveloped levees. The results demonstrate that sediment supply is an important, maybe the controlling factor of drift development on the Antarctic continental rise.</t>
  </si>
  <si>
    <t>Michels, KH (corresponding author), Alfred Wegener Inst Polar &amp; Marine Res, Postfach 12 01 61, D-27515 Bremerhaven, Germany.</t>
  </si>
  <si>
    <t>Kuhn, Gerhard/0000-0001-6069-7485</t>
  </si>
  <si>
    <t>10.1023/A:1016303817273</t>
  </si>
  <si>
    <t>WOS:000176867300009</t>
  </si>
  <si>
    <t>Luque, SP; Aurioles-Gamboa, D</t>
  </si>
  <si>
    <t>Sex differences in body size and body condition of California sea lion (Zalophus californianus) pups from the Gulf of California</t>
  </si>
  <si>
    <t>MARINE MAMMAL SCIENCE</t>
  </si>
  <si>
    <t>body size; body condition; California sea lion; growth; Gulf of California; morphometry; sexual dimorphism; Zalophus californianus</t>
  </si>
  <si>
    <t>ANTARCTIC FUR SEALS; ATLANTIC HARP SEAL; MATERNAL INVESTMENT; ARCTOCEPHALUS-GAZELLA; PHOCID SEALS; GROWTH; MASS; DIMORPHISM; ALLOCATION; ALASKA</t>
  </si>
  <si>
    <t>The Gulf of California harbors about 15% of the total California sea lion (Zalophus californianus californianus) population. We studied pup morphometrics from eight Gulf of California rookeries during the 1996 and 1997 reproductive seasons to describe sex differences in body size and body condition indices. Newborn pup body site was not different from previous reports. Male pups were heavier and larger than female pups in terms of all linear dimensions. Morphometric relationships, however, showed that males were 3%-4% denser, and that after removing the effects of length, they were about 2% heavier than females. Sculp depth adjusted for length was 12% larger in female than in male pups. Our data provide further evidence that male otariid pups may allocate a larger fraction of milk energy to muscular and skeletal growth compared to female pups.</t>
  </si>
  <si>
    <t>Inst Politecn Nacl, Ctr Interdisciplinario Ciencias Marinas, Dept Pesquerias &amp; Biol Marina, La Paz 23096, Baja Calif Sur, Mexico</t>
  </si>
  <si>
    <t>Instituto Politecnico Nacional - Mexico</t>
  </si>
  <si>
    <t>Inst Politecn Nacl, Ctr Interdisciplinario Ciencias Marinas, Dept Pesquerias &amp; Biol Marina, Av Inst Politecn Nacl S-N,Apdo Postal 592, La Paz 23096, Baja Calif Sur, Mexico.</t>
  </si>
  <si>
    <t>sebluque@yahoo.com</t>
  </si>
  <si>
    <t>WILEY-BLACKWELL</t>
  </si>
  <si>
    <t>0824-0469</t>
  </si>
  <si>
    <t>1748-7692</t>
  </si>
  <si>
    <t>MAR MAMMAL SCI</t>
  </si>
  <si>
    <t>Mar. Mamm. Sci.</t>
  </si>
  <si>
    <t>10.1111/j.1748-7692.2001.tb00985.x</t>
  </si>
  <si>
    <t>Marine &amp; Freshwater Biology; Zoology</t>
  </si>
  <si>
    <t>383ML</t>
  </si>
  <si>
    <t>WOS:000165886400007</t>
  </si>
  <si>
    <t>Green, J</t>
  </si>
  <si>
    <t>Australian maritime boundaries: the Australian Antarctic Territory</t>
  </si>
  <si>
    <t>MARINE POLICY</t>
  </si>
  <si>
    <t>maritime boundaries; Australian Antarctic Territory; extended Continental Shelf; law of sea</t>
  </si>
  <si>
    <t>LAW; SEA</t>
  </si>
  <si>
    <t>Australia will include the Australian Antarctic Territory in its November 2004 submission to the Commission on the Limits of the Continental Shelf It is the first Claimant State to attempt delimitation of an extended continental shelf zone there. This paper investigates the complexity of Australia's Antarctic maritime boundaries from political, legal and practical perspectives that have hitherto been purely hypothetical. It concludes that the practical component is achievable, though complex, and will serve as a precedent for other Antarctic Claimant States. Irrespective of whether or not the submission succeeds, it will serve as a valuable lesson, legally and politically. (C) 2001 Elsevier Science Ltd. All rights reserved.</t>
  </si>
  <si>
    <t>Univ Tasmania, Inst Antarctic &amp; So Ocean Studies, Law Policy &amp; Int Relat Subprogram, Antarctic Cooperat Res Ctr, Hobart, Tas 7001, Australia</t>
  </si>
  <si>
    <t>Green, J (corresponding author), Univ Tasmania, Inst Antarctic &amp; So Ocean Studies, Law Policy &amp; Int Relat Subprogram, Antarctic Cooperat Res Ctr, GPO Box 252-77, Hobart, Tas 7001, Australia.</t>
  </si>
  <si>
    <t>Jabour, Julia A/J-7882-2014</t>
  </si>
  <si>
    <t>0308-597X</t>
  </si>
  <si>
    <t>MAR POLICY</t>
  </si>
  <si>
    <t>Mar. Pol.</t>
  </si>
  <si>
    <t>10.1016/S0308-597X(00)00028-2</t>
  </si>
  <si>
    <t>Environmental Studies; International Relations</t>
  </si>
  <si>
    <t>Environmental Sciences &amp; Ecology; International Relations</t>
  </si>
  <si>
    <t>406EN</t>
  </si>
  <si>
    <t>WOS:000167202100001</t>
  </si>
  <si>
    <t>Liermann, HP; Ganguly, J</t>
  </si>
  <si>
    <t>Compositional properties of coexisting orthopyroxene and spinel in some Antarctic diogenites: Implications for thermal history</t>
  </si>
  <si>
    <t>METEORITICS &amp; PLANETARY SCIENCE</t>
  </si>
  <si>
    <t>EUCRITE PARENT BODY; ORTHO-PYROXENE; COOLING RATES; DIFFUSION-COEFFICIENTS; THERMODYNAMICS; PETROGENESIS; METAMORPHISM; EXCHANGE; COUPLES; VESTA</t>
  </si>
  <si>
    <t>We analyzed the compositional profiles of coexisting orthopyroxenes and spinels in six diogenite samples from the Antarctic meteorite collection and used the data to constrain their thermal histories. The closure temperatures of Fe2+-Mg exchange between spinel and orthopyroxene in these samples vary between similar to 630 and 830 degreesC. However, those in other diogenite samples, for which the compositional data are available in the literature, extend up to similar to 1125 degreesC. This wide range of closure temperatures suggests repeated excavation of the diogenites from their original sites over a long time interval during cooling. The orthopyroxene grains were found to be homogeneous in composition while two of the relatively large spinel grains in the samples Elephant Moraine (EET) 87530 and Thiel Mountains (TIL) 82410 showed compositional zoning near the rim. Modeling of the spinel zoning in TIL 82410 suggests that it developed during cooling under a regolith or ejecta blanket, possibly at a depth of similar to 80-120 m, and that the spinel composition was homogeneous at similar to 900 degreesC. A nonlinear cooling model in which the cooling rate is given by T-eta(K)(2), with eta = 5.8 x 10(-3) K(-1)Ma(-2), leads to simulated retrograde zoning profile in spinel which match the observed profile in TIL 82410 very well.</t>
  </si>
  <si>
    <t>Univ Arizona, Dept Geosci, Tucson, AZ 85721 USA</t>
  </si>
  <si>
    <t>University of Arizona</t>
  </si>
  <si>
    <t>Ganguly, J (corresponding author), Univ Arizona, Dept Geosci, Tucson, AZ 85721 USA.</t>
  </si>
  <si>
    <t>Ganguly, Jibamitra/K-6795-2012</t>
  </si>
  <si>
    <t>Liermann, Hanns-Peter/0000-0001-5039-1183</t>
  </si>
  <si>
    <t>METEORITICAL SOC</t>
  </si>
  <si>
    <t>FAYETTEVILLE</t>
  </si>
  <si>
    <t>DEPT CHEMISTRY/BIOCHEMISTRY, UNIV ARKANSAS, FAYETTEVILLE, AR 72701 USA</t>
  </si>
  <si>
    <t>0026-1114</t>
  </si>
  <si>
    <t>METEORIT PLANET SCI</t>
  </si>
  <si>
    <t>Meteorit. Planet. Sci.</t>
  </si>
  <si>
    <t>414EH</t>
  </si>
  <si>
    <t>WOS:000167652600013</t>
  </si>
  <si>
    <t>Klein, T; Heinemann, G</t>
  </si>
  <si>
    <t>On the forcing mechanisms of mesocyclones in the eastern Weddell Sea region, Antarctica: Process studies using a mesoscale numerical model</t>
  </si>
  <si>
    <t>METEOROLOGISCHE ZEITSCHRIFT</t>
  </si>
  <si>
    <t>ROSS SEA; SIMULATION</t>
  </si>
  <si>
    <t>Development mechanisms of Antarctic mesocyclones in the eastern Weddell Sea area are examined by means of simulations with a mesoscale model using different idealized initial conditions. In one of the experiments, a mesocyclone develops over an area of open water close to the coast of the Antarctic continent. The forcing mechanisms of this mesocyclogenesis are investigated by means of sensitivity studies in which certain physical processes and the relevance of the surface conditions topography, sea surface temperature and sea ice coverage are examined. The sensitivity experiments show that the simulated mesocyclone is forced by an interaction of several forcing mechanisms at different stages of the development rather than by a single mechanism. The topography of the eastern Weddell Sea region and the summertime coastal polynia are shown to be of great importance for the mesocyclogenesis. A suitable synoptic-scale flow is necessary to support the katabatic flow over the sloped ice sheet, and to enhance the generation of cyclonic vorticity due to vertical stretching for the initial mesocyclogenesis. The diabatic process of the convergence of the sensible and latent heat fluxes in the boundary layer over the coastal polynia then becomes the dominant forcing mechanism for the further development of the mesocyclone.</t>
  </si>
  <si>
    <t>Univ Bonn, Inst Meteorol, D-53121 Bonn, Germany</t>
  </si>
  <si>
    <t>University of Bonn</t>
  </si>
  <si>
    <t>Heinemann, G (corresponding author), Univ Bonn, Inst Meteorol, Hugel 20, D-53121 Bonn, Germany.</t>
  </si>
  <si>
    <t>Heinemann, Gunther/0000-0002-4831-9016</t>
  </si>
  <si>
    <t>GEBRUDER BORNTRAEGER</t>
  </si>
  <si>
    <t>JOHANNESSTR 3A, D-70176 STUTTGART, GERMANY</t>
  </si>
  <si>
    <t>0941-2948</t>
  </si>
  <si>
    <t>METEOROL Z</t>
  </si>
  <si>
    <t>Meteorol. Z.</t>
  </si>
  <si>
    <t>10.1127/0941-2948/2001/0010-0113</t>
  </si>
  <si>
    <t>431DD</t>
  </si>
  <si>
    <t>WOS:000168615800004</t>
  </si>
  <si>
    <t>Harlander, U; Gassmann, A; Metz, W</t>
  </si>
  <si>
    <t>Stationary Rossby wave propagation in a shear flow along a reflective boundary</t>
  </si>
  <si>
    <t>METEOROLOGY AND ATMOSPHERIC PHYSICS</t>
  </si>
  <si>
    <t>ANTARCTIC CIRCUMPOLAR CURRENT; EQUIVALENT BAROTROPIC MODEL; BETA-PLANE CHANNEL; CRITICAL LAYERS; WIND; TOPOGRAPHY</t>
  </si>
  <si>
    <t>This study investigates the impact of lateral boundary conditions on the propagation and dispersion of locally excited Rossby waves in a zonally periodic, barotropic, quasigeostrophic channel model on the beta -plane. We use basic flows with either a linear meridional shear or a jet-like profile. On the southern boundary of the channel we impose either a rigid wall or a radiation condition, whereas the northern sidewall is permeable for Rossby waves. We compare the numerical solutions found for a reflecting southern boundary in a weakly dissipative flow to the solutions obtained from a WKB-analysis for the corresponding unforced nondissipative situation. Furthermore, we compare the generalized Eliassen-Palm flux vectors to the ray paths of Rossby wave packets, obtained from WKB ray tracing. In particular, we focus our investigation on the two-dimensional structure of trapped modal waves and wave trains in a simple linear numerical model. Summarizing our results, we find that along the reflective wall, trapped modal wave structures as well as reflected wave trains occur with characteristics (e.g., wave numbers, turning latitudes) similar to the ones computed using asymptotic methods. In a linear sheared flow wave packets are trapped for all zonal wave numbers in contrast to a jet-like mean flow which has a selective effect on the waves; i.e., a turning latitudes phenomenon between the coast and the flow maximum occurs for short waves, while long waves can propagate freely across the zonal mean flow. This comes out clearly when studying the stream lines of the Eliassen-Palm flux vectors of the numerical model simulations. Furthermore, due to the reflected wave activity, the dispersion of Rossby waves is influenced by the southern boundary condition not only in the vicinity of the border but also in regions away from the boundary. These results appear to be important on the one hand for the existence of trapped Rossby waves in large-scale oceanic shear flows along a zonally oriented coast. And, on the other hand for large-scale boundary waves in conceptional atmospheric channel models which can lead to unwanted resonance effects.</t>
  </si>
  <si>
    <t>Univ Leipzig, Inst Meteorol LIM, D-04103 Leipzig, Germany; Univ Bonn, Inst Meteorol, D-53121 Bonn, Germany</t>
  </si>
  <si>
    <t>Leipzig University; University of Bonn</t>
  </si>
  <si>
    <t>Univ Leipzig, Inst Meteorol LIM, Stephanstr 3, D-04103 Leipzig, Germany.</t>
  </si>
  <si>
    <t>uwehar@dynamics.meteo.uni-leipzig.de</t>
  </si>
  <si>
    <t>SPRINGER WIEN</t>
  </si>
  <si>
    <t>WIEN</t>
  </si>
  <si>
    <t>SACHSENPLATZ 4-6, PO BOX 89, A-1201 WIEN, AUSTRIA</t>
  </si>
  <si>
    <t>0177-7971</t>
  </si>
  <si>
    <t>1436-5065</t>
  </si>
  <si>
    <t>METEOROL ATMOS PHYS</t>
  </si>
  <si>
    <t>Meteorol. Atmos. Phys.</t>
  </si>
  <si>
    <t>10.1007/s703-001-8177-y</t>
  </si>
  <si>
    <t>507NR</t>
  </si>
  <si>
    <t>WOS:000173035000008</t>
  </si>
  <si>
    <t>Bowman, JP</t>
  </si>
  <si>
    <t>Methods for psychrophilic bacteria</t>
  </si>
  <si>
    <t>METHODS IN MICROBIOLOGY, VOL 30</t>
  </si>
  <si>
    <t>METHODS IN MICROBIOLOGY</t>
  </si>
  <si>
    <t>ANTARCTIC SEA-ICE; POLYUNSATURATED FATTY-ACIDS; GAS VACUOLATE BACTERIA; SP. NOV.; GEN. NOV.; COMB. NOV; BAROPHILIC BACTERIUM; MASS-SPECTROMETRY; MARINE-BACTERIA; ENZYMES</t>
  </si>
  <si>
    <t>Univ Tasmania, Sch Agr Sci, Hobart, Tas, Australia</t>
  </si>
  <si>
    <t>Bowman, JP (corresponding author), Univ Tasmania, Sch Agr Sci, Hobart, Tas, Australia.</t>
  </si>
  <si>
    <t>Bowman, John P/C-2414-2014; Bowman, John P./ABF-5108-2020</t>
  </si>
  <si>
    <t>Bowman, John P/0000-0002-4528-9333; Bowman, John P./0000-0002-4528-9333</t>
  </si>
  <si>
    <t>0580-9517</t>
  </si>
  <si>
    <t>METHOD MICROBIOL</t>
  </si>
  <si>
    <t>10.1016/S0580-9517(01)30064-8</t>
  </si>
  <si>
    <t>Biotechnology &amp; Applied Microbiology; Microbiology</t>
  </si>
  <si>
    <t>BS30K</t>
  </si>
  <si>
    <t>WOS:000169406600029</t>
  </si>
  <si>
    <t>Chatila, K; Demers, S; Mostajir, B; Gosselin, M; Chanut, JP; Monfort, P; Bird, D</t>
  </si>
  <si>
    <t>The responses of a natural bacterioplankton community to different levels of ultraviolet-B radiation: A food web perspective</t>
  </si>
  <si>
    <t>MICROBIAL ECOLOGY</t>
  </si>
  <si>
    <t>UV-RADIATION; ANTARCTIC PHYTOPLANKTON; SPECIES COMPOSITION; BACTERIAL-GROWTH; OZONE DEPLETION; SOLAR-RADIATION; FRESH-WATER; MARINE; INHIBITION; PHOTOSYNTHESIS</t>
  </si>
  <si>
    <t>With the continuing increase of ultraviolet-B radiation (UVBR: 280-320 nm) fluxes toward the Earth's surface, there is concern regarding a possible negative impact on heterotrophic bacterioplankton. The effects of enhanced UVBR on a natural bacterioplankton community were studied during a 7-day experiment conducted in mesocosms (1500 L). Four light regimes were tested: natural light, 280 to 313 nm excluded WBR, and two levels of UVBR enhancement. During the first 3 days of the experiment characterized by high inorganic nutrient concentrations (nitrates &gt; 1 mu mol L-1 and ammonium &gt; 0.1 mu mol L-1), UVBR had no effect on bath bacterial. abundances and activities. From day 4 to the end of the experiment, nitrate concentrations remained low (&lt; 1 mol L-1) and those of ammonium varied with a general tendency of decrease. During this period, bacterial abundances increased more rapidly in the UVBR enhanced treatments, reaching an the last day of the experiment values that were 39 to 73% higher than those observed in the natural UVBR treatment. H-3-Thymidine (TdR) incorporation rarely showed a significant inhibiting effect of UVBR. However, when expressed per bacterium, TdR incorporation decreased by approximately 40% with the UVBR enhancement above natural levels. Two explanations are possible. First, we know that UVBR reduced protozooplankton bacterivory, leading to an increase in the bacterial abundance. It may be that this increase in community abundance compensated for the UVBR inhibition of bacterial activity at the cellular level. Alternatively community production may have been set by constant nutrient supply rates; UVBR inhibition was then a result of accumulating dead cells, a taxonomic shift, or increased competition among the more abundant cells.</t>
  </si>
  <si>
    <t>Univ Quebec, Grp Rech Environm Cotier, Inst Sci Mer Rimouski, Rimouski, PQ G5L 3A1, Canada; Univ Montpellier 2, Lab Hydrobiol Marine &amp; Continentale, Unite Mixte Rech Ecosyst Lagunaires, CNRS,UMR 5556, F-34095 Montpellier 05, France; Univ Quebec, Dept Sci Biol, Montreal, PQ H3C 3P8, Canada</t>
  </si>
  <si>
    <t>University of Quebec; Centre National de la Recherche Scientifique (CNRS); Universite de Montpellier; University of Quebec; University of Quebec Montreal</t>
  </si>
  <si>
    <t>Univ Quebec, Grp Rech Environm Cotier, Inst Sci Mer Rimouski, 310 Allee des Ursulines, Rimouski, PQ G5L 3A1, Canada.</t>
  </si>
  <si>
    <t>Serge_Demers@uqar.uquebec.ca</t>
  </si>
  <si>
    <t>MONFORT, Patrick/E-8620-2010; Gosselin, Michel/B-4477-2014</t>
  </si>
  <si>
    <t>MONFORT, Patrick/0000-0002-7868-2166; Gosselin, Michel/0000-0002-1044-0793</t>
  </si>
  <si>
    <t>0095-3628</t>
  </si>
  <si>
    <t>1432-184X</t>
  </si>
  <si>
    <t>MICROB ECOL</t>
  </si>
  <si>
    <t>Microb. Ecol.</t>
  </si>
  <si>
    <t>Ecology; Marine &amp; Freshwater Biology; Microbiology</t>
  </si>
  <si>
    <t>Environmental Sciences &amp; Ecology; Marine &amp; Freshwater Biology; Microbiology</t>
  </si>
  <si>
    <t>397RY</t>
  </si>
  <si>
    <t>WOS:000166710700006</t>
  </si>
  <si>
    <t>Gupta, AK; Joseph, S; Thomas, E</t>
  </si>
  <si>
    <t>Species diversity of Miocene deep-sea benthic foraminifera and watermass stratification in the northeastern Indian Ocean</t>
  </si>
  <si>
    <t>MICROPALEONTOLOGY</t>
  </si>
  <si>
    <t>CARBON ISOTOPE STRATIGRAPHY; EQUATORIAL PACIFIC; BENTHONIC FORAMINIFERA; SOMALI BASIN; CIRCULATION; CLIMATE; EVOLUTION; ATLANTIC; HISTORY; EOCENE</t>
  </si>
  <si>
    <t>The Miocene species diversity of deep-sea benthic foraminifera (expressed as alpha index, information function H[S], and Sanders' rarefaction values) at DSDP Sites 214 (1671 m) and 216 (2262 m), and ODP Site 758 (2923 m) in the northeastern Indian Ocean was overall higher than the modern diversity, but with major variations. The alpha and H(S) values were relatively low at the shallowest Site 214, medium at intermediate-depth Site 216, and highest at the deepest Site 758. Across the Oligocene/Miocene boundary, when the Antarctic Circumpolar Current (ACC) might have originated, diversity dropped at Sites 214 and 758. All diversity parameters decreased for a short time at about 17 Ma at all sites (more prominent at Site 216), at which time production of Northern Component Water (NCW) may have peaked. At shallow Site 214 and deep Site 758, the alpha and Sanders' values show an abrupt decrease at about 12.5 Ma, a time of major expansion of the East Antarctic Ice Sheet (EAIS) and increased production of Antarctic Bottom Water (AABW), Northern Component Water (NCW) and Indonesian Intermediate Water (IIW). These decreases in diversity are not seen in the records of Site 216. In the latest Miocene (about 7.15 to 6.5 Ma) the alpha and Sanders' values at Sites 214 and 758 decreased further, during the Chron-6 global carbon shift and the Indo-Pacific biogenic bloom in productivity. The H(S) values also show a decrease in this interval at Sites 214 and 758. We suggest that deep-ocean circulation played a significant role in shaping the long-term diversity trends in the northeastern Indian Ocean. Productivity, which might in turn have been influenced by the circulation changes, dominantly affected the diversity in the latest Miocene.</t>
  </si>
  <si>
    <t>Indian Inst Technol, Dept Geol &amp; Geophys, Kharagpur 721302, W Bengal, India; Natl Inst Oceanog, Chem Oceanog Div, Panaji 403004, Goa, India; Wesleyan Univ, Dept Earth &amp; Environm Sci, Middletown, CT 06459 USA; Yale Univ, Dept Geol &amp; Geophys, New Haven, CT 06520 USA</t>
  </si>
  <si>
    <t>Indian Institute of Technology System (IIT System); Indian Institute of Technology (IIT) - Kharagpur; Council of Scientific &amp; Industrial Research (CSIR) - India; CSIR - National Institute of Oceanography (NIO); Wesleyan University; Yale University</t>
  </si>
  <si>
    <t>Indian Inst Technol, Dept Geol &amp; Geophys, Kharagpur 721302, W Bengal, India.</t>
  </si>
  <si>
    <t>anilg@gg.iitkgp.ernet.in; ethomas@wesleyan.edu</t>
  </si>
  <si>
    <t>Thomas, Ellen/JVO-1734-2024; Joseph, Sudheer/N-8662-2016</t>
  </si>
  <si>
    <t>Thomas, Ellen/0000-0002-7141-9904; Gupta, Anil/0000-0003-0536-3911; Joseph, Sudheer/0000-0002-9163-3027</t>
  </si>
  <si>
    <t>MICRO PRESS</t>
  </si>
  <si>
    <t>FLUSHING</t>
  </si>
  <si>
    <t>6530 KISSENA BLVD, FLUSHING, NY 11367 USA</t>
  </si>
  <si>
    <t>0026-2803</t>
  </si>
  <si>
    <t>1937-2795</t>
  </si>
  <si>
    <t>Micropaleontology</t>
  </si>
  <si>
    <t>10.2113/47.2.111</t>
  </si>
  <si>
    <t>Paleontology</t>
  </si>
  <si>
    <t>447MT</t>
  </si>
  <si>
    <t>WOS:000169577700002</t>
  </si>
  <si>
    <t>Carbary, JF; Morrison, D; Romick, GJ; Paxton, LJ; Meng, CI</t>
  </si>
  <si>
    <t>Riese, M; Spang, R; Swenson, GR; Espy, PJ</t>
  </si>
  <si>
    <t>Middle ultraviolet imager observations of the distribution of polar mesospheric clouds</t>
  </si>
  <si>
    <t>MIDDLE ATMOSPHERE TEMPORAL AND SPATIAL STRUCTURES</t>
  </si>
  <si>
    <t>C2 3/A1 4 Symposium of COSPAR Scientific Commission C held at 33rd COSPAR Scientific Assembly</t>
  </si>
  <si>
    <t>JUL 16-23, 2000</t>
  </si>
  <si>
    <t>NOCTILUCENT CLOUDS; MESOPAUSE; REGION</t>
  </si>
  <si>
    <t>Observations of the spatial structure and distribution of Polar mesospheric clouds (PMCs) in the northern and southern polar regions were made during the arctic summers of 1998-1999 and austral summer of 1997-1998 by a middle ultraviolet imager (235-263 nm). The imager look-point made multiple transpolar passes over the Arctic and Antarctic and obtained thousands of images of PMCs at latitudes poleward of 55 degrees. The unprecedented accuracy and stability of the satellite platform (similar to 10 mu rad) allowed investigation of both the large-scale (&gt;100 km) and small scale (similar to1 km) spatial structures of PMCs. The UV imager readily observed PMCs distinct from the atmospheric backgrounds. The clouds existed in discrete, filamentary structures throughout the polar region above latitudes of similar to 55 degrees. Vertically, PMCs generally lie between attitudes of 82.0 and 83.0 km, but within this range, cloud altitudes are essentially random on transpolar scales of similar to 1000 km. In some instances, the clouds cluster at common altitudes for distances of similar to 100 km. The PMC altitudes do not appear correlated with latitude or local time. A diffuse signal above the clouds, possibly related to Polar Mesospheric Summer Echoes, was observed in some cases. Horizontally, PMCs exhibit structure on scales of similar to 50 km to similar to 1000 km that is probably related to gravity wave activity in the polar region. The horizontal periodicities of the PMCs can remain stable for at least 24 hours. (C) 2001 COSPAR. Published by Elsevier Science Ltd. All rights reserved.</t>
  </si>
  <si>
    <t>Johns Hopkins Univ, Appl Phys Lab, Laurel, MD 20723 USA</t>
  </si>
  <si>
    <t>Johns Hopkins University; Johns Hopkins University Applied Physics Laboratory</t>
  </si>
  <si>
    <t>Carbary, JF (corresponding author), Johns Hopkins Univ, Appl Phys Lab, 11100 Johns Hopkins Rd, Laurel, MD 20723 USA.</t>
  </si>
  <si>
    <t>Paxton, Larry/D-1934-2015; Carbary, James/C-2086-2016</t>
  </si>
  <si>
    <t>Paxton, Larry/0000-0002-2597-347X; Carbary, James/0000-0003-1781-3078</t>
  </si>
  <si>
    <t>10.1016/S0273-1177(01)00239-3</t>
  </si>
  <si>
    <t>BT13W</t>
  </si>
  <si>
    <t>WOS:000172045800014</t>
  </si>
  <si>
    <t>Cassano, JJ; Parish, TR; King, JC</t>
  </si>
  <si>
    <t>Evaluation of turbulent surface flux parameterizations for the stable surface layer over Halley, Antarctica</t>
  </si>
  <si>
    <t>MONTHLY WEATHER REVIEW</t>
  </si>
  <si>
    <t>SCALAR ROUGHNESS; BOUNDARY-LAYER; ICE SHELF; MODEL; VALIDATION; TESTS</t>
  </si>
  <si>
    <t>Calculated surface fluxes from seven surface layer parameterizations are verified against 45 months of observations from Halley, Antarctica, with a temporal resolution of 1 h. The surface layer parameterizations are taken from widely used numerical models including the National Center for Atmospheric Research (NCAR) Community Climate models CCM2 and CCM3, the U.K. Met. Office Unified Climate Model, and the fifth-generation Pennsylvania State University-NCAR Mesoscale Model (MM5). The observations include measurements of the mean wind speed and temperature inversion strength and direct measurements of the turbulent fluxes of heat and momentum. A comparison of the calculated and observed fluxes is conducted for conditions in which the surface layer is stably stratified. Based on these comparisons it is found that the simulated friction velocity values are adequate (although slightly larger than the observed turbulent fluxes) under all but the highest bulk Richardson number conditions (greatest static stability). In contrast the magnitude of the calculated sensible heat flux is frequently less than that of the observed sensible heat flux. The use of a larger scalar roughness length for heat compared to that for momentum is found to remove this bias in the calculated sensible heat fluxes. The correlation between the observed and calculated fluxes of heat and momentum is acceptable for the lower bulk Richardson number regimes, but is near zero for the high bulk Richardson number regime. The correlation between the calculated and observed fluxes is in general better for the momentum flux than for the sensible heat flux. The bias in the calculated sensible heat flux could have significant implications for numerical simulations in which the flow is driven by surface processes, and may pose problems for climate-scale simulations. The impact that errors of the observed magnitude have on simulated katabatic winds is explored with a series of two-dimensional numerical simulations using MM5. Inferences about the relevance of these findings for climate simulations are also addressed.</t>
  </si>
  <si>
    <t>Univ Wyoming, Dept Atmospher Sci, Laramie, WY 82071 USA; British Antarctic Survey, Cambridge CB3 0ET, England</t>
  </si>
  <si>
    <t>University of Wyoming; UK Research &amp; Innovation (UKRI); Natural Environment Research Council (NERC); NERC British Antarctic Survey</t>
  </si>
  <si>
    <t>Ohio State Univ, Byrd Polar Res Ctr, Polar Meteorol Grp, 1090 Carmack Rd, Columbus, OH 43210 USA.</t>
  </si>
  <si>
    <t>cassano@polarmet1.mps.ohio-state.edu</t>
  </si>
  <si>
    <t>0027-0644</t>
  </si>
  <si>
    <t>1520-0493</t>
  </si>
  <si>
    <t>MON WEATHER REV</t>
  </si>
  <si>
    <t>Mon. Weather Rev.</t>
  </si>
  <si>
    <t>10.1175/1520-0493(2001)129&lt;0026:EOTSFP&gt;2.0.CO;2</t>
  </si>
  <si>
    <t>393MZ</t>
  </si>
  <si>
    <t>WOS:000166475400002</t>
  </si>
  <si>
    <t>Holland, DM; Jenkins, A</t>
  </si>
  <si>
    <t>Adaptation of an isopycnic coordinate ocean model for the study of circulation beneath ice shelves</t>
  </si>
  <si>
    <t>EQUATION-OF-STATE; THERMOHALINE CIRCULATION; SEA-WATER; SHELF; NORTH</t>
  </si>
  <si>
    <t>Much of the Antarctic coastline comprises large, floating ice shelves, beneath which waters from the open ocean circulate. The interaction of the seawater with the base of these ice shelves has a bearing both on the rate at which Antarctic Bottom Water is formed and on the mass balance of the ice sheet. An isopycnic coordinate ocean general circulation model has been modified so as to allow the incorporation of a floating ice shelf as an upper boundary to the model domain. The modified code admits the introduction of an arbitrary surface pressure field and includes new algorithms for the diagnosis of entrainment into, and detrainment from, the surface mixed layer. Special care is needed in handling the cases where the mixed layer, and isopycnic interior layers, interact with surface and basal topography. The modified model is described in detail and then applied to an idealized ice shelf-ocean geometry. Simple tests with zero surface buoyancy forcing indicate that the introduction of the static surface pressure induces an insignificant motion in the underlying water. With nonzero surface buoyancy forcing the model produces a cyclonic circulation beneath the ice shelf. Outflow along the ice shelf base, driven by melting of the thickest ice, is balanced by deep inflow. The abrupt change in water column thickness at the ice shelf front does not form a barrier to buoyancy-driven circulation across the front.</t>
  </si>
  <si>
    <t>NYU, Courant Inst Math Sci, New York, NY 10012 USA; British Antarctic Survey, Cambridge CB3 0ET, England</t>
  </si>
  <si>
    <t>New York University; UK Research &amp; Innovation (UKRI); Natural Environment Research Council (NERC); NERC British Antarctic Survey</t>
  </si>
  <si>
    <t>NYU, Courant Inst Math Sci, 251 Mercer St, New York, NY 10012 USA.</t>
  </si>
  <si>
    <t>holland@cims.nyu.edu</t>
  </si>
  <si>
    <t>10.1175/1520-0493(2001)129&lt;1905:AOAICO&gt;2.0.CO;2</t>
  </si>
  <si>
    <t>454XF</t>
  </si>
  <si>
    <t>WOS:000169996500007</t>
  </si>
  <si>
    <t>Bromwich, DH; Cassano, JJ; Klein, T; Heinemann, G; Hines, KM; Steffen, K; Box, JE</t>
  </si>
  <si>
    <t>Mesoscale modeling of katabatic winds over Greenland with the Polar MM5</t>
  </si>
  <si>
    <t>ICE-SHEET; ANTARCTIC CLIMATE; MELTING ZONE; SIMULATIONS; CIRCULATION; DYNAMICS; CLOUDS; FLOWS</t>
  </si>
  <si>
    <t>Verification of two months, April and May 1997, of 48-h mesoscale model simulations of the atmospheric state around Greenland are presented. The simulations are performed with a modified version of The Pennsylvania State University-National Center for Atmospheric Research fifth-generation Mesoscale Model (MM5), referred to as the Polar MM5. Global atmospheric analyses as well as automatic weather station and instrumented aircraft observations from Greenland are used to verify the forecast atmospheric state. The model is found to reproduce the observed atmospheric state with a high degree of realism. Monthly mean values of the near-surface temperature and wind speed predicted by the Polar MM5 differ from the observations by less than 1 K and 1 m s(-1), respectively, at most sites considered. In addition, the model is able to simulate a realistic diurnal cycle for the surface variables, as well as capturing the large-scale, synoptically forced changes in these variables. Comparisons of modeled profiles of wind speed, direction, and potential temperature in the katabatic layer with aircraft observations are also favorable, with small mean errors. The simulations of the katabatic winds are found to be sensitive to errors in the large-scale forcing (e.g., the large-scale pressure gradient) and to errors in the representation of key physical processes, such as turbulence in the very stable surface layer and cloud-radiation interaction.</t>
  </si>
  <si>
    <t>Ohio State Univ, Dept Geog, Atmospher Sci Program, Columbus, OH 43210 USA; Ohio State Univ, Byrd Polar Res Ctr, Polar Meteorol Grp, Columbus, OH 43210 USA; Univ Bonn, Inst Meteorol, Bonn, Germany; Univ Colorado, CIRES, Boulder, CO 80309 USA</t>
  </si>
  <si>
    <t>University System of Ohio; Ohio State University; University System of Ohio; Ohio State University; University of Bonn; University of Colorado System; University of Colorado Boulder</t>
  </si>
  <si>
    <t>Cassano, JJ (corresponding author), Univ Colorado, CIRES, Campus Box 216, Boulder, CO 80309 USA.</t>
  </si>
  <si>
    <t>Box, Jason/H-5770-2013; Steffen, Konrad/C-6027-2013; Cassano, John/HKW-8817-2023; Box, Jason E/AAE-1654-2019; Bromwich, David H/C-9225-2016</t>
  </si>
  <si>
    <t>Box, Jason/0000-0003-0052-8705; Box, Jason E/0000-0003-0052-8705; Heinemann, Gunther/0000-0002-4831-9016</t>
  </si>
  <si>
    <t>10.1175/1520-0493(2001)129&lt;2290:MMOKWO&gt;2.0.CO;2</t>
  </si>
  <si>
    <t>465XN</t>
  </si>
  <si>
    <t>WOS:000170615400007</t>
  </si>
  <si>
    <t>Renwick, JA; Thompson, CS</t>
  </si>
  <si>
    <t>Southern hemisphere medium-range forecast skill and predictability: A comparison of two operational models</t>
  </si>
  <si>
    <t>LOW-FREQUENCY VARIABILITY; INTERANNUAL VARIATIONS; PRINCIPAL MODES; PACIFIC; PREDICTION; BLOCKING; CIRCULATION; PATTERNS</t>
  </si>
  <si>
    <t>The skill of two global numerical weather prediction models, the National Centers for Environmental Prediction (NCEP) medium-range forecast model and the European Centre for Medium-Range Weather Forecasts (ECMWF) operational model, has been assessed over the Southern Hemisphere extratropics for much of the 1990s. Forecast skill and circulation predictability are calculated in terms of predicted and observed 500-hPa height fields. The skill of both the NCEP and ECMWF models has increased steadily through the decade. The useful forecast range (mean anomaly correlation at least 0.6) extended out to about day 6 during the late 1990s compared to day 5 in the early 1990s. The ECMWF model generally performed best out to the useful forecast limit, but scores were insignificantly different beyond that. ECMWF forecasts show a gradual increase in variance with forecast interval, while NCEP forecasts show a decrease. For both models, the most predictable wintertime circulation pattern, defined by a singular value decomposition analysis, is associated with wave propagation across the South Pacific and southern Atlantic Oceans, the so-called Pacific-South American pattern, analogous to results found for the Northern Hemisphere. At day 10, the predicted amplitude of the leading pattern correlates at 0.6 with the analysis amplitude, while average hemispheric anomaly correlations are less than 0.3. For the leading singular mode pair, the spatial patterns and summary statistics compare closely between models. The spatial pattern of the leading singular mode is very similar in form to the leading analysis EOF from either model. A study of forecast errors reveals that a pattern related to the high-latitude mode'' or Antarctic oscillation, associated with a zonally symmetric exchange of mass between mid- and high latitudes, is weakly associated with large forecast errors. Large errors tend to be associated with positive height anomalies over the Pole and weak westerlies near 55 degreesS. The more predictable patterns exhibit stronger temporal persistence than do the least predictable. Applications of these results to operational forecasting are discussed.</t>
  </si>
  <si>
    <t>Natl Inst Water &amp; Atmospher Res Wellington, Wellington, New Zealand</t>
  </si>
  <si>
    <t>Renwick, JA (corresponding author), Natl Inst Water &amp; Atmospher Res Wellington, POB 14901, Wellington, New Zealand.</t>
  </si>
  <si>
    <t>J.Renwick@niwa.cri.nz</t>
  </si>
  <si>
    <t>Renwick, James/0000-0002-9141-2486</t>
  </si>
  <si>
    <t>10.1175/1520-0493(2001)129&lt;2377:SHMRFS&gt;2.0.CO;2</t>
  </si>
  <si>
    <t>WOS:000170615400012</t>
  </si>
  <si>
    <t>Whyte, JNC; Sherry, KL</t>
  </si>
  <si>
    <t>Pigmentation and composition of flesh of Atlantic salmon fed diets supplemented with the yeast Phaffia rhodozyma</t>
  </si>
  <si>
    <t>NORTH AMERICAN JOURNAL OF AQUACULTURE</t>
  </si>
  <si>
    <t>RAINBOW-TROUT; ONCORHYNCHUS-MYKISS; NATURAL OCCURRENCE; MESO-ASTAXANTHIN; ANTARCTIC KRILL; COHO SALMON; CANTHAXANTHIN; CAROTENOIDS; MUTANTS; FISH</t>
  </si>
  <si>
    <t>In a pigmentation trial, Atlantic salmon Salmo salar in ocean pens were fed diets supplemented with the red yeast Phaffia rhodozyma, a control diet supplemented with synthetic astaxanthin, and a nonpigmented control diet. Yeast diets contained spray-dried untreated P. rhodozyma, heat-treated and spray-dried P. rhodozyma, and heat-treated and chemically treated spray-dried P. rhodozyma. Growth, weight, and fork length of all fish increased linearly with feeding and were not significantly different at the end of the study. Astaxanthin concentration in all pigmented fish increased linearly and ranged from 3.26 to 3.78 mg/kg after 150 d of feeding. Apart from the nonpigmented diet, astaxanthin concentration was not significantly different between fish fed the untreated or treated red yeast and those fed the synthetic astaxanthin diet (control). Assessment of astaxanthin isomers corroborated the assimilation of the (3R,3'R) isomer from all P. rhodozyma diets. Moisture, ash, and protein in all fish declined linearly with time, whereas lipid increased, but only during the first 30 d of feeding. Fatty acid profiles of all fish were virtually identical and independent of the source of pigment. No beneficial or adverse nutritional effects to the fish resulted from the use of modified red yeast.</t>
  </si>
  <si>
    <t>Fisheries &amp; Oceans Canada, Pacific Biol Stn, Nanaimo, BC V9R 5K6, Canada</t>
  </si>
  <si>
    <t>Fisheries &amp; Oceans Canada</t>
  </si>
  <si>
    <t>Whyte, JNC (corresponding author), Fisheries &amp; Oceans Canada, Pacific Biol Stn, 3190 Hammond Bay Rd, Nanaimo, BC V9R 5K6, Canada.</t>
  </si>
  <si>
    <t>AMER FISHERIES SOC</t>
  </si>
  <si>
    <t>BETHESDA</t>
  </si>
  <si>
    <t>5410 GROSVENOR LANE SUITE 110, BETHESDA, MD 20814-2199 USA</t>
  </si>
  <si>
    <t>1522-2055</t>
  </si>
  <si>
    <t>N AM J AQUACULT</t>
  </si>
  <si>
    <t>N. Am. J. Aqualcult.</t>
  </si>
  <si>
    <t>10.1577/1548-8454(2001)063&lt;0052:PACOFO&gt;2.0.CO;2</t>
  </si>
  <si>
    <t>Fisheries</t>
  </si>
  <si>
    <t>419JC</t>
  </si>
  <si>
    <t>WOS:000167944700009</t>
  </si>
  <si>
    <t>Haranczyk, H; Grandjean, J; Olech, M</t>
  </si>
  <si>
    <t>Hennel, JW; Sulek, Z</t>
  </si>
  <si>
    <t>Low temperature effect in D2O-hydrated antarctic lichen Humantormia lugubris as observed by 1H NMR+</t>
  </si>
  <si>
    <t>NUCLEAR MAGNETIC RESONANCE AND ITS APPLICATIONS, PROCEEDINGS</t>
  </si>
  <si>
    <t>MOLECULAR PHYSICS REPORTS(SERIES)</t>
  </si>
  <si>
    <t>33rd Polish Seminar on Nuclear Magnetic Resonance and its Applications</t>
  </si>
  <si>
    <t>DEC 04-05, 2000</t>
  </si>
  <si>
    <t>KRAKOW, POLAND</t>
  </si>
  <si>
    <t>H-1-NMR; D-2-NMR; microheterogeneous systems; freezing protection; lichens; Humantormia lugubris</t>
  </si>
  <si>
    <t>ICE NUCLEATION ACTIVITY; CARBON-DIOXIDE EXCHANGE; WATER RELATIONS; MYCOBIONTS</t>
  </si>
  <si>
    <t>H-1-NMR (at 300 MHz) and D-2-NMR (at 46.1 MHz) spectra versus decreased temperature for Antarctic Maritime lichen Himantormia lugubris hydrated in D2O from gaseous phase were recorded. Proton spectrum is a superposition of narrow, Lorentzian, component from loosely bound water fraction and a broad, Gaussian, component coming from tightly bound water and from thallus solid matrix). Peak position of both line components is not altered as the temperature is decreased from 297 K down to 223 K. Halfwidth of narrow component remains almost unchanged down to 253 K and broadens for lower temperature, whereas the continuos broadening of Gaussian line stops at 261 K. The area under Lorentzian line smoothly decreases versus the area under Gaussian, which is connected with the freezing protection mechanism acting in lichen thallus. Below 253 K this decrease is significantly greater, which may reflect possible conformational change in water loosely bound in lichen thallus. The change in area under peak are accompanied with the changes in line halfwidth. D-2 spectra do not reveal discontinuous water freezing in the investigated temperature range.</t>
  </si>
  <si>
    <t>Jagiellonian Univ, Inst Phys, Krakow, Poland</t>
  </si>
  <si>
    <t>Jagiellonian University</t>
  </si>
  <si>
    <t>Haranczyk, H (corresponding author), Jagiellonian Univ, Inst Phys, Krakow, Poland.</t>
  </si>
  <si>
    <t>POLISH ACAD SCIENCES</t>
  </si>
  <si>
    <t>POZNAN</t>
  </si>
  <si>
    <t>WIENIAWSKIEGO 17, 61-712 POZNAN, POLAND</t>
  </si>
  <si>
    <t>1505-1250</t>
  </si>
  <si>
    <t>83-7314-080-8</t>
  </si>
  <si>
    <t>MOLECUL PHYS REP</t>
  </si>
  <si>
    <t>Physics, Atomic, Molecular &amp; Chemical; Physics, Nuclear</t>
  </si>
  <si>
    <t>BT76U</t>
  </si>
  <si>
    <t>WOS:000173975600051</t>
  </si>
  <si>
    <t>Goosse, H; Campin, JM; Tartinville, B</t>
  </si>
  <si>
    <t>Goosse, Hugues; Campin, Jean-Michel; Tartinville, Benoit</t>
  </si>
  <si>
    <t>The sources of Antarctic bottom water in a global ice ocean model</t>
  </si>
  <si>
    <t>OCEAN MODELLING</t>
  </si>
  <si>
    <t>Deep circulation; Deep water formation; Convection; Southern Ocean</t>
  </si>
  <si>
    <t>WORLD OCEAN; DEEP-WATER; CIRCULATION; SENSITIVITY; PARAMETERIZATION; CONVECTION</t>
  </si>
  <si>
    <t>Two mechanisms contribute to the formation of Antarctic bottom water (AABW). The first, and probably the most important, is initiated by the brine released on the Antarctic continental shelf during ice formation which is responsible for an increase in salinity. After mixing with ambient water at the shelf break, this salty and dense water sinks along the shelf slope and invades the deepest part of the global ocean. For the second one, the increase of surface water density is due to strong cooling at the ocean atmosphere interface, together with a contribution from brine release. This induces deep convection and the renewal of deep waters. The relative importance of these two mechanisms is investigated in a global coupled ice ocean model. Chlorofluorocarbon (CFC) concentrations simulated by the model compare favourably with observations, suggesting a reasonable deep water ventilation in the Southern Ocean, except close to Antarctica where concentrations are too high. Two artificial passive tracers released at surface on the Antarctic continental shelf and in the open-ocean allow to show clearly that the two mechanisms contribute significantly to the renewal of AABW in the model. This indicates that open-ocean convection is overestimated in our simulation. Additional experiments show that the amount of AABW production due to the export of dense shelf waters is quite sensitive to the parameterisation of the effect of downsloping and meso-scale eddies. Nevertheless, shelf waters always contribute significantly to deep water renewal. Besides, increasing the P.R. Gent, J.C. McWilliams [Journal of Physical Oceanography 20 (1990) 150-155] thickness diffusion can nearly suppress the AABW formation by open-ocean convection. (C) 2001 Elsevier Science Ltd. All rights reserved.</t>
  </si>
  <si>
    <t>[Goosse, Hugues; Campin, Jean-Michel; Tartinville, Benoit] Catholic Univ Louvain, Inst Astron &amp; Geophys G Lemaitre, B-1348 Louvain, Belgium</t>
  </si>
  <si>
    <t>Universite Catholique Louvain</t>
  </si>
  <si>
    <t>Goosse, H (corresponding author), Catholic Univ Louvain, Inst Astron &amp; Geophys G Lemaitre, Chemin Cyclotron, B-1348 Louvain, Belgium.</t>
  </si>
  <si>
    <t>hgs@astr.ucl.ac.be</t>
  </si>
  <si>
    <t>Global Change and Sustainable Development Programme; Belgium State (Prime Minister's Services, Federal Office for Scientific, Technical, and Cultural Affairs) [CG/DD/09A, A4/DD/B15]; Convention de Recherches Concertee [097/02-208]</t>
  </si>
  <si>
    <t>Global Change and Sustainable Development Programme; Belgium State (Prime Minister's Services, Federal Office for Scientific, Technical, and Cultural Affairs); Convention de Recherches Concertee</t>
  </si>
  <si>
    <t>We wish to thank E. Deleersnijder and M. Crucifix for their careful reading of the manuscript and constructive criticism. H. Goosse is Senior Research Assistant at the National Fund for Scientific Research (Belgium). This study was done within the scope of the Global Change and Sustainable Development Programme and the Antarctic Programme of the Belgium State (Prime Minister's Services, Federal Office for Scientific, Technical, and Cultural Affairs, Contracts CG/DD/09A and A4/DD/B15), and the Convention de Recherches Concertee 097/02-208 (Comunaute Francaise de Belgique, Departement de l'Education, la Recherche et la Formation). These financial supports are gratefully acknowledged.</t>
  </si>
  <si>
    <t>1463-5003</t>
  </si>
  <si>
    <t>1463-5011</t>
  </si>
  <si>
    <t>OCEAN MODEL</t>
  </si>
  <si>
    <t>Ocean Model.</t>
  </si>
  <si>
    <t>PII S1463-5003(00)00017-2</t>
  </si>
  <si>
    <t>10.1016/S1463-5003(00)00017-2</t>
  </si>
  <si>
    <t>V22LV</t>
  </si>
  <si>
    <t>WOS:000208277600004</t>
  </si>
  <si>
    <t>Matear, RJ</t>
  </si>
  <si>
    <t>Matear, R. J.</t>
  </si>
  <si>
    <t>Effects of numerical advection schemes and eddy parameterizations on ocean ventilation and oceanic anthropogenic CO2 uptake</t>
  </si>
  <si>
    <t>Anthropogenic CO2 uptake; Eddy parameterization; Advection schemes; Southern Ocean; Global ocean</t>
  </si>
  <si>
    <t>WORLD OCEAN; CHLOROFLUOROCARBON UPTAKE; CIRCULATION; MODEL; SENSITIVITY; REPRESENTATION; DISTRIBUTIONS; TRANSPORT; RENEWAL; FLUXES</t>
  </si>
  <si>
    <t>Several different numerical advection schemes and eddy parameterizations were implemented in an ocean general circulation model to investigate the effect on ocean ventilation and the oceanic uptake of anthropogenic CO2. To assess the models, simulations of natural Delta C-14 and excess CO2 (defined as the increase in carbon in the ocean caused by the uptake of anthropogenic CO2 from the atmosphere) were compared to observations. For both natural Delta C-14 and excess CO2 the Southern Ocean (SO) was the region most sensitive to model numerics and eddy parameterizations. To produce realistic distributions of Delta C-14 and excess CO2 the simulated oceanic anthropogenic CO2 uptake tracked the minimum range of the modeled anthropogenic CO2 uptakes. Model with higher uptake estimates produced too much excess CO2 in the ocean and over-ventilated the deepwater of the SO. For the year 1990, our best estimate of the oceanic uptake of anthropogenic CO2 was 1.8 +/- 0.1 Gt. C/yr. (c) Elsevier Science Ltd. All rights reserved.</t>
  </si>
  <si>
    <t>CSIRO Marine Res &amp; Antarctic Cooperat Res Ctr, Hobart, Tas 7001, Australia</t>
  </si>
  <si>
    <t>Matear, RJ (corresponding author), CSIRO Marine Res &amp; Antarctic Cooperat Res Ctr, GPO Box 1538, Hobart, Tas 7001, Australia.</t>
  </si>
  <si>
    <t>matear@marine.csiro.au</t>
  </si>
  <si>
    <t>matear, richard/C-5133-2011</t>
  </si>
  <si>
    <t>matear, richard/0000-0002-3225-0800</t>
  </si>
  <si>
    <t>Environment Australia Climate Change Research Program</t>
  </si>
  <si>
    <t>I thank Matt England's for his assitance in model configuration and set-up and Tony Hirst for contributing ideas and helpful comments to this work. This work was funded by Environment Australia Climate Change Research Program.</t>
  </si>
  <si>
    <t>PII S1463-5003(01)00010-5</t>
  </si>
  <si>
    <t>10.1016/S1463-5003(01)00010-5</t>
  </si>
  <si>
    <t>V22LW</t>
  </si>
  <si>
    <t>WOS:000208277700004</t>
  </si>
  <si>
    <t>Kerhervé, P; Minagawa, M; Heussner, S; Monaco, A</t>
  </si>
  <si>
    <t>Stable isotopes (13C/12C and 15N/14N) in settling organic matter of the northwestern Mediterranean Sea:: biogeochemical implications</t>
  </si>
  <si>
    <t>OCEANOLOGICA ACTA</t>
  </si>
  <si>
    <t>stable isotopes; isotopic tracers; settling particles; nitrogen fixation; Gulf of Lions</t>
  </si>
  <si>
    <t>NITROGEN-FIXATION; MARINE CYANOBACTERIUM; NATURAL ABUNDANCE; ANTARCTIC OCEAN; NITRATE UPTAKE; SEDIMENT TRAP; FOOD WEB; FRACTIONATION; PHYTOPLANKTON; CARBON</t>
  </si>
  <si>
    <t>Within the framework of the High Frequency Flux (HFF) experiment (MATER programme), time-series sediment traps have been deployed for two months on the continental slope off Marseilles to measure downward particle fluxes at a high frequency sampling rate (two and six days). Combined isotopic analyses of carbon and nitrogen have been performed on selected samples. Both isotopic tracers have been used for the first time on organic material of the Mediterranean Sea (Gulf of Lions) to determine the main biological sources and to address the biogeochemical processes that affected this material. Settling particles were characterised by very low values of delta N-15 (near 0 parts per thousand) and delta C-13 (near -24.5 parts per thousand) that indicate the existence of a mixed material with two sources that differ according to the considered element (C or N). The terrestrial source slightly dominates the carbon pool because of its higher C:N ratio, whereas the nitrogen pool may mostly originate from N-2-fixing cyanobacteria (delta N-15 = 0 parts per thousand, low C:N ratio). These preliminary data suggest that dissolved atmospheric N, may act as a significant new nitrogen source in the Mediterranean Sea. (C) 2001 Ifremer/CNRS/IRD/Editions scientifiques et medicales Elsevier SAS.</t>
  </si>
  <si>
    <t>Univ Perpignan, CNRS UMR 5110, Ctr Format &amp; Rech Environm Marin, F-66860 Perpignan, France; Hokkaido Univ, Grad Sch Environm &amp; Earth Sci, Sapporo, Hokkaido 0600810, Japan</t>
  </si>
  <si>
    <t>Centre National de la Recherche Scientifique (CNRS); Universite Perpignan Via Domitia; CNRS - National Institute for Earth Sciences &amp; Astronomy (INSU); Hokkaido University</t>
  </si>
  <si>
    <t>Kerhervé, P (corresponding author), Univ Perpignan, CNRS UMR 5110, Ctr Format &amp; Rech Environm Marin, F-66860 Perpignan, France.</t>
  </si>
  <si>
    <t>GAUTHIER-VILLARS/EDITIONS ELSEVIER</t>
  </si>
  <si>
    <t>23 RUE LINOIS, 75015 PARIS, FRANCE</t>
  </si>
  <si>
    <t>0399-1784</t>
  </si>
  <si>
    <t>OCEANOL ACTA</t>
  </si>
  <si>
    <t>Oceanol. Acta</t>
  </si>
  <si>
    <t>S77</t>
  </si>
  <si>
    <t>S85</t>
  </si>
  <si>
    <t>408PB</t>
  </si>
  <si>
    <t>WOS:000167333600007</t>
  </si>
  <si>
    <t>Kleiner, A; Chance, J; Ching, N; Mitchell, J; Smits, F; Spittal, J; Spillard, R</t>
  </si>
  <si>
    <t>MARINE TECHNOLOGY SOCIETY; MARINE TECHNOLOGY SOCIETY; MARINE TECHNOLOGY SOCIETY</t>
  </si>
  <si>
    <t>A collaborative effort to meet New Zealand's mapping requirements: Multibeam echosounder integration, acceptance testing, and antarctic mapping aboard the research vessel Tangaroa</t>
  </si>
  <si>
    <t>OCEANS 2001 MTS/IEEE: AN OCEAN ODYSSEY, VOLS 1-4, CONFERENCE PROCEEDINGS</t>
  </si>
  <si>
    <t>Annual Conference of the Marine-Technology-Society</t>
  </si>
  <si>
    <t>NOV 05-08, 2001</t>
  </si>
  <si>
    <t>HONOLULU, HI</t>
  </si>
  <si>
    <t>The National Institute of Water and Atmospheric Research Limited (NIWA) integrated a 30kHz Kongsberg Simrad EM-300 multibeam echosounder on their research ship, the RN Tangaroa to help meet the mapping and charting requirements of Land Information New Zealand (LINZ) and to support NIWA's science and consulting activities. Installation of the hull-mounted multibeam system was performed during a seven-day vessel dry-docking in November 2000. The EM-300, leased to NIWA by C &amp; C Technologies (C &amp; C), was put through a series of stringent Calibration and Acceptance Tests by LINZ prior to its performance of hydrographic charting in the Western Ross Sea of Antarctica. This paper details the LINZ Hydrograph Survey Standards and their specifications for the Western Ross Sea survey, NIWA's evaluation and selection of a multibeam system to meet these standards and specifications, and the system's integration upon the R/V Tangaroa. Predicted error budgets are provided for the EM-300's vertical accuracy and feature detection capabilities. An evaluation of the Calibration and Acceptance Testing and a comparison to the predicted performance of the EM-300 are provided. Conclusions resulting from the Western Ross Sea 2001 voyage, along with the mapping data collected by the EM-300, are presented. Experiences and issues associated with surveying in the harsh Antarctic environment during the February - March 2001 voyage are also detailed.</t>
  </si>
  <si>
    <t>MARINE TECHNOLOGY SOC</t>
  </si>
  <si>
    <t>1828 L ST NW,SUITE 906, WASHINGTON, DC 20035 USA</t>
  </si>
  <si>
    <t>0-933957-28-9</t>
  </si>
  <si>
    <t>Engineering, Marine; Engineering, Ocean; Engineering, Electrical &amp; Electronic; Geosciences, Multidisciplinary; Oceanography</t>
  </si>
  <si>
    <t>Engineering; Geology; Oceanography</t>
  </si>
  <si>
    <t>BV22H</t>
  </si>
  <si>
    <t>WOS:000178200800194</t>
  </si>
  <si>
    <t>Kirkwood, WJ; Gashler, D; Thomas, H; O'Reilly, TC; McEwen, R; Tervalon, N; Shane, F; Au, D; Sibenac, M; Konvalina, T; Bahlavouni, A; Bellingham, JG</t>
  </si>
  <si>
    <t>Development of a long endurance Autonomous Underwater Vehicle for ocean science exploration</t>
  </si>
  <si>
    <t>Our goal is to greatly Increase access to the Arctic Ocean by creating and demonstrating a safe and economical platform capable of basin-scale surveys. Specifically, we are developing an Autonomous Underwater Vehicle (AUV) for Arctic research with unprecedented endurance, and the capability to relay data through the ice to satellites. We will provide a means of monitoring changes taking place in the Arctic Ocean and investigate its impact on global climate changes. The vehicle will also be capable of seafloor surveys throughout the Arctic basin. Such a capability Is of national and global interest and importance . A modular AUV with parallel mid-body sections is being developed as part of a larger experiment, the Atlantic Layer Tracking Experiment (ALTEX). The ALTEX vehicle is guided using an articulated tail steering section. The tail is comprised of ducted propeller acting as control surfaces and propulsion, in contrast with the more traditional control Surfaces of previous vehicles. This approach is expected to be more robust to impacts (which usually occur on launch and recovery) and should have improved efficiency as well. Also worth noting is the fact that this system stays inside a 2111 diameter. To achieve the desired range capability, we will employ a fuel cell energy system constructed by team Fuel Cell Technologies, Ltd. The system being developed is unique In that it will be pressure compensated and therefore deep-ocean rated. Communication will be provided by buoys designed to melt through the ice, and telemeter mission data via Argos. The buoys will also be equipped with GPS, so that a position fix can be obtained. Other components of the vehicle will be a mix of systems developed for earlier generations of AUVs by the partner organizations. While many new systems are being developed, the objective is to leverage existing technology to the degree possible. While the developmental effort is presently focused on Arctic Ocean hydrography, this advanced vehicle can be used for a range of oceanographic applications. Other applications in the Arctic Ocean include seafloor mapping and ice measurements. Furthermore, In many ocean regions, the range and navigation capabilities provided by this vehicle are expected to allow shore-based operations. The depth rating of the system allows the vehicle to be used for deep sea vent studies, studies of the sea floor spreading, exploration of the Antarctic ice shelf, and coupled observation/modeling systems in coastal and continental shelf environments. A range of military applications are also enabled, for example early, wide area battlespace characterization from platforms of opportunity. In this paper we will discuss our progress to date, our current test efforts, and the near term future uses of this new platform for science.</t>
  </si>
  <si>
    <t>Monterey Bay Aquarium Res Inst, Moss Landing, CA USA</t>
  </si>
  <si>
    <t>Monterey Bay Aquarium Research Institute</t>
  </si>
  <si>
    <t>Kirkwood, WJ (corresponding author), Monterey Bay Aquarium Res Inst, Moss Landing, CA USA.</t>
  </si>
  <si>
    <t>WOS:000178200800235</t>
  </si>
  <si>
    <t>Choi, WK; Kim, S</t>
  </si>
  <si>
    <t>Sasano, Y; Wang, J; Hayasaka, T</t>
  </si>
  <si>
    <t>Variations of the stratospheric chemical species in the Antarctic spring observed bg ILAS</t>
  </si>
  <si>
    <t>OPTICAL REMOTE SENSING OF THE ATMOSPHERE AND CLOUDS II</t>
  </si>
  <si>
    <t>PROCEEDINGS OF THE SOCIETY OF PHOTO-OPTICAL INSTRUMENTATION ENGINEERS (SPIE)</t>
  </si>
  <si>
    <t>Conference on Optical Remote Sensing of the Atmosphere and Clouds II</t>
  </si>
  <si>
    <t>OCT 09-12, 2000</t>
  </si>
  <si>
    <t>SENDAI, JAPAN</t>
  </si>
  <si>
    <t>tracer mixing ratio; polar vortex; polar vortex breakdown; stratospheric transport; planetary wave</t>
  </si>
  <si>
    <t>POLAR VORTEX; SOUTHERN-HEMISPHERE; POTENTIAL VORTICITY; OZONE HOLE; MARCH 1997; HALOE; VALIDATION; FEBRUARY; DESCENT; KIRUNA</t>
  </si>
  <si>
    <t>Temporal variation of chemical species in the stratosphere was investigated based on observations by the Improved Limb Atmospheric Spectrometer onboard the Advanced Earth Observing Satellite. The zonal mean mixing ratio of nitrous oxide at high latitudes in the Southern Hemisphere increased rapidly during November 1996. During the period the circulation pattern changed from the winter polar vortex to the summer pattern and was influenced by the periodic fluctuation of the planetary wave activities. The altitude on which the polar vortex broke down gradually changed from the upper stratosphere to the lower stratosphere. The vertical gradient of the zonal mean mixing ratio of nitrous oxide showed positive value at the level of the rapid temporal increase. The level of the positive vertical gradient is closely associated with that of the polar vortex breakdown. The variation of the tracer mixing ratio was investigated with respect to the boundary of the polar vortex, The mixing ratios inside and outside of the polar vortex evolved with distinctive patterns with time. The evolution of the polar vortex and the shape of it have significant influences on the zonal mean mixing ratio of tracers.</t>
  </si>
  <si>
    <t>Seoul Natl Univ, Sch Earth &amp; Environm Sci, Seoul 151742, South Korea</t>
  </si>
  <si>
    <t>Seoul National University (SNU)</t>
  </si>
  <si>
    <t>Choi, WK (corresponding author), Seoul Natl Univ, Sch Earth &amp; Environm Sci, Seoul 151742, South Korea.</t>
  </si>
  <si>
    <t>SPIE-INT SOC OPTICAL ENGINEERING</t>
  </si>
  <si>
    <t>BELLINGHAM</t>
  </si>
  <si>
    <t>1000 20TH ST, PO BOX 10, BELLINGHAM, WA 98227-0010 USA</t>
  </si>
  <si>
    <t>0277-786X</t>
  </si>
  <si>
    <t>0-8194-3803-0</t>
  </si>
  <si>
    <t>P SOC PHOTO-OPT INS</t>
  </si>
  <si>
    <t>10.1117/12.416978</t>
  </si>
  <si>
    <t>Meteorology &amp; Atmospheric Sciences; Remote Sensing; Optics</t>
  </si>
  <si>
    <t>BS18S</t>
  </si>
  <si>
    <t>WOS:000169001200003</t>
  </si>
  <si>
    <t>Hayashida, S; Saitoh, N; Horikawa, M; Amemiya, Y; Brogniez, C; Deshler, T; Sasano, Y</t>
  </si>
  <si>
    <t>Stratospheric background aerosols and polar stratospheric clouds observed with satellite sensors - Inference of particle composition and sulfate amount -</t>
  </si>
  <si>
    <t>Proceedings of SPIE</t>
  </si>
  <si>
    <t>ILAS; satellite; stratospheric aerosol; stratospheric ozone; PSCs</t>
  </si>
  <si>
    <t>ATMOSPHERIC-SPECTROMETER ILAS; SOLAR OCCULTATION; OZONE; TEMPERATURE; VALIDATION; LIDAR</t>
  </si>
  <si>
    <t>The Improved Limb Atmospheric Spectrometer (ILAS) on board the Advanced Earth Observing Satellite (ADEOS) successfully observed atmospheric profiles over the Arctic and Antarctic from November 1996 though June 1997. It revealed the frequent occurrence of Polar Stratospheric Clouds (PSCs) over the Arctic between January and mid-March 1997. The ILAS provides a unique data set, including aerosol extinction at 780 nm, nitric acid, water vapor, and nitrous oxide, simultaneously. This paper demonstrates the validity of the ILAS aerosol data and presents an approach to estimate the chemical composition of PSCs. Comparisons are made with data from the Stratospheric Aerosol and Gas Experiment (SAGE) II.</t>
  </si>
  <si>
    <t>Nara Womens Univ, Fac Sci, Nara 6308506, Japan</t>
  </si>
  <si>
    <t>Nara Womens University</t>
  </si>
  <si>
    <t>Nara Womens Univ, Fac Sci, Nara 6308506, Japan.</t>
  </si>
  <si>
    <t>sachiko@ics.nara-wu.ac.jp; sasano@nies.go.jp</t>
  </si>
  <si>
    <t>Sasano, Yasuhiro/AAL-8184-2020</t>
  </si>
  <si>
    <t>Sasano, Yasuhiro/0000-0001-7470-5642</t>
  </si>
  <si>
    <t>1996-756X</t>
  </si>
  <si>
    <t>PROC SPIE</t>
  </si>
  <si>
    <t>10.1117/12.416947</t>
  </si>
  <si>
    <t>WOS:000169001200009</t>
  </si>
  <si>
    <t>Shiraishi, K; Matsumoto, Y; Hayashi, M; Fujiwara, M; Shibata, T; Adachi, H; Sakai, T; Ishii, S; Tamura, K; Oohashi, T; Katou, T; Iwasaka, Y</t>
  </si>
  <si>
    <t>Polar stratospheric clouds observed above Ny-Aalesund, Norway and Dome station, Antarctic</t>
  </si>
  <si>
    <t>lidar; PSCs; arctic; antarctic; stratosphere</t>
  </si>
  <si>
    <t>OBSERVED SANDWICH STRUCTURE; PSC PARTICLES; DROPLETS; OZONE</t>
  </si>
  <si>
    <t>Lidar observations of stratospheric aerosols have been performed at Ny-Aalesund (79 degrees N,12 degrees E), Svalbard every winter since January 1994. We detected many PSC events in the stratosphere under low temperature condition, especially in 1994/95, 1995/96, 1996/97 winter campaigns. Meanwhile in the Antarctic, lidar observations were made from April, 1997 to January,1998 at Dome Fuji(78 degrees S,40 degrees E), and many PSCs were detected almost every day from the end of May to mid October. In the Arctic, PSC layers at the initial stage of appearance were composed mainly of solid particles in each winter season and the layers at sufficiently low temperatures were composed of spherical particles. In the Antarctic, PSCs similar to those over Ny-Aalesund were also detected frequently while the polar vortex was developing or the vortex was unstable. But after a remarkable decrease in the temperature by the invasion of blocking high into the polar vortex, PSCs detected were mainly composed of solid particles.</t>
  </si>
  <si>
    <t>Fukuoka Univ, Fac Sci, Dept Earth Syst Sci, Fukuoka 81401, Japan</t>
  </si>
  <si>
    <t>Fukuoka University</t>
  </si>
  <si>
    <t>Shiraishi, K (corresponding author), Fukuoka Univ, Fac Sci, Dept Earth Syst Sci, Fukuoka 81401, Japan.</t>
  </si>
  <si>
    <t>Sakai, Tetsu/E-6014-2012</t>
  </si>
  <si>
    <t>Sakai, Tetsu/0000-0001-8916-2695</t>
  </si>
  <si>
    <t>10.1117/12.416984</t>
  </si>
  <si>
    <t>WOS:000169001200046</t>
  </si>
  <si>
    <t>Bortoli, D; Ravegnani, F; Kostadinov, I; Giovanelli, G; Petritoli, A</t>
  </si>
  <si>
    <t>Larar, AM; Mlynczak, MG</t>
  </si>
  <si>
    <t>Stratospheric ozone and nitrogen dioxide amount obtained with GASCOD type DOAS spectrometer at Terra Nova Bay Station (Antarctica) during December 2000-January 2001.</t>
  </si>
  <si>
    <t>OPTICAL SPECTROSCOPIC TECHNIQUES, REMOTE SENSING, AND INSTRUMENTATION FOR ATMOSPHERIC AND SPACE RESEARCH IV</t>
  </si>
  <si>
    <t>4th Optical Spectroscopic Techniques, Remote Sensing, and Instrumentation for Atmospheric and Space Research</t>
  </si>
  <si>
    <t>JUL 30-AUG 02, 2001</t>
  </si>
  <si>
    <t>SAN DIEGO, CA</t>
  </si>
  <si>
    <t>ozone; nitrogen dioxide; Formaldehyde; stratosphere; cross section; trace gas; Antarctica</t>
  </si>
  <si>
    <t>LIMB SOUNDER OZONE; OCLO MEASUREMENTS; NO2; O3</t>
  </si>
  <si>
    <t>GASCODs are UV-Visible ground-based spectrometers developed at the ISAO Institute and used to detect stratospheric trace gases involved in the ozone cycle such as NO2, OClO, BrO, by application of Differential Optical Absorption Spectroscopy (DOAS) methodology to the zenith scattered light collected data. After several tests both in laboratory and in Antarctic region, one of the spectrometers was modified for unattended and continuous measurement in extreme high-latitude environment. The instrument was installed in December 1995 in the Italian Station at Terra Nova Bay (74degrees26'S, 164degrees03E', Ross Sea). The GASCOD is still working and causing very interesting data for the study of the denitrification processes during the formation of the so-called ozone hole over the Antarctic region. When the station is unmanned, to allow for the continuous NO2 monitoring for whole the year without mechanical problems, the fixed [407 - 460] ran spectral region is investigated. The results for Nitrogen Dioxide, obtained by application of DOAS algorithms to the data recorded during the year 2000, are presented. During a leg (December 2000 - January 2001) of the 16th Italian Antarctic Expedition, after the usual instrument check, many measurements were carried out in other spectral regions, with the aim to obtain information about the stratospheric tracers contents. The results obtained for Ozone, Nitrogen dioxide and Formaldehyde at different Solar Zenith Angle are presented.</t>
  </si>
  <si>
    <t>CNR, ISAO, I-40129 Bologna, Italy</t>
  </si>
  <si>
    <t>Consiglio Nazionale delle Ricerche (CNR)</t>
  </si>
  <si>
    <t>CNR, ISAO, Via Gobetti 101, I-40129 Bologna, Italy.</t>
  </si>
  <si>
    <t>d.bortoli@isao.bo.cnr.it</t>
  </si>
  <si>
    <t>Bortoli, Daniele/A-5489-2009; Ravegnani, Fabrizio/AAM-5467-2021; Ravegnani, Fabrizio/A-7800-2009</t>
  </si>
  <si>
    <t>Bortoli, Daniele/0000-0002-2334-4055; Ravegnani, Fabrizio/0000-0003-0735-9297; Ravegnani, Fabrizio/0000-0003-0735-9297</t>
  </si>
  <si>
    <t>0-8194-4199-6</t>
  </si>
  <si>
    <t>UNSP 4485-40</t>
  </si>
  <si>
    <t>Engineering, Aerospace; Instruments &amp; Instrumentation; Remote Sensing; Optics; Spectroscopy</t>
  </si>
  <si>
    <t>Engineering; Instruments &amp; Instrumentation; Remote Sensing; Optics; Spectroscopy</t>
  </si>
  <si>
    <t>BU15J</t>
  </si>
  <si>
    <t>WOS:000175162500025</t>
  </si>
  <si>
    <t>Petritoli, A; Giovanelli, G; Ravegnani, F; Bortoli, D; Kostadinov, I; Castelli, E; Bonafè, U; Oulanovsky, A; Yushkov, V</t>
  </si>
  <si>
    <t>Development of a new methodology for the retrieval of in-situ stratospheric trace gas concentration from airborne limb-absorption measurements</t>
  </si>
  <si>
    <t>NITROGEN-DIOXIDE; ANTARCTIC OZONE</t>
  </si>
  <si>
    <t>The UV-Vis DOAS spectrometer GASCOD/A4pi (Gas Analyzer Spectrometer Correlating Optical Differences, Airborne version) was installed on board the stratospheric Geophysica aircraft during the APE-THESEO and APE-GAIA campaign in February-March and September-October 1999 respectively. The instrument is provided by five input windows, three of which measure scattered solar radiation from the zenith and from two horizontal windows, 90 degrees away from the zenith to perform limb-absorption measurements. Spectra from 290 to 700 nm were processed through DOAS technique to obtain trace gases column amounts. Data from horizontal windows, which are performed for the first time from an airborne spectrometer, are used to retrieve an average concentration of the gases along a characteristic length of the line of sight. An atmospheric Air Mass Factor model (AMEFCO) is used to calculate the probability density function and the characteristic length used to reduce the slant column amounts to in-situ concentration values. The validation of the method is performed through a comparison of the values obtained, with a in-situ chemiluminescent ozone analyzer (FOZAN) which performed synchronous measurements on board Geophysica aircraft. Data from the APE-GAIA campaign was presented and discussed.</t>
  </si>
  <si>
    <t>Petritoli, A (corresponding author), CNR, ISAO, Via Gobetti 101, I-40129 Bologna, Italy.</t>
  </si>
  <si>
    <t>Ravegnani, Fabrizio/AAM-5467-2021; Bortoli, Daniele/A-5489-2009; Ravegnani, Fabrizio/A-7800-2009</t>
  </si>
  <si>
    <t>Ravegnani, Fabrizio/0000-0003-0735-9297; Bortoli, Daniele/0000-0002-2334-4055; Ravegnani, Fabrizio/0000-0003-0735-9297</t>
  </si>
  <si>
    <t>UNSP 4485-77</t>
  </si>
  <si>
    <t>WOS:000175162500053</t>
  </si>
  <si>
    <t>Damsté, JSS; van Dongen, BE; Rijpstra, WIC; Schouten, S; Volkman, JK; Geenevasen, JAJ</t>
  </si>
  <si>
    <t>Novel intact glycolipids in sediments from an Antarctic lake (Ace Lake)</t>
  </si>
  <si>
    <t>ORGANIC GEOCHEMISTRY</t>
  </si>
  <si>
    <t>glycolipids; carbohydrates; sugars; lipids; lake sediments; intramolecular carbon; isotopic composition</t>
  </si>
  <si>
    <t>CARBON ISOTOPIC FRACTIONATION; VESTFOLD HILLS; HETEROCYST GLYCOLIPIDS; ACIDIC POLYSACCHARIDE; ORGANIC-MATTER; SP-NOV; IDENTIFICATION; BACTERIAL; CYANOBACTERIA; PHYTOPLANKTON</t>
  </si>
  <si>
    <t>Two novel glycolipids, docosanyl 3-O-methyl-alpha -rhamnopyranoside and docosanyl 3-O-methylxylopyranoside, were identified as the most abundant GC-amenable components of extracts of sediments of Ace Lake, an Antarctic meromictic lake. Docosanyl 3-O-methyl-alpha -rhamnopyranoside was identified by isolation and high-field two-dimensional NMR techniques. Docosanyl 3-O-methylxylopyranoside was tentatively identified by characterisation of its sugar moiety by methanolysis and demethylation. Both glycolipids also have a minor homologue, containing a C-24 instead of a C-22 n-alkyl chain. Stable carbon isotope measurements indicate that the sugar moieties of these glycolipids are ca. 8-9 parts per thousand enriched relative to the alkyl chains. Concentrations increased markedly with depth reaching 2 mg/g sediment at 25 cm depth. Structurally related glycolipids occur in specialised cells of nitrogen-fixing cyanobacteria, so a cyanobacterial origin is suggested for these sedimentary glycolipids. (C) 2001 Elsevier Science Ltd. All rights reserved.</t>
  </si>
  <si>
    <t>Netherlands Inst Sea Res, Dept Marine Biogeochem &amp; Toxicol, NIOZ, NL-1790 AB Den Burg, Netherlands; Antarctic CRC, Hobart, Tas, Australia; CSIRO, Hobart, Tas 7001, Australia; Univ Amsterdam, Dept Organ Chem, Fac Chem, NL-1018 WS Amsterdam, Netherlands</t>
  </si>
  <si>
    <t>Utrecht University; Royal Netherlands Institute for Sea Research (NIOZ); Commonwealth Scientific &amp; Industrial Research Organisation (CSIRO); University of Amsterdam</t>
  </si>
  <si>
    <t>Damsté, JSS (corresponding author), Netherlands Inst Sea Res, Dept Marine Biogeochem &amp; Toxicol, NIOZ, POB 59, NL-1790 AB Den Burg, Netherlands.</t>
  </si>
  <si>
    <t>Volkman, John K/A-6592-2008; Sinninghe Damste, Jaap/F-6128-2011</t>
  </si>
  <si>
    <t>Sinninghe Damste, Jaap/0000-0002-8683-1854; van Dongen, Bart/0000-0003-1189-142X</t>
  </si>
  <si>
    <t>0146-6380</t>
  </si>
  <si>
    <t>ORG GEOCHEM</t>
  </si>
  <si>
    <t>Org. Geochem.</t>
  </si>
  <si>
    <t>406TH</t>
  </si>
  <si>
    <t>WOS:000167230900012</t>
  </si>
  <si>
    <t>Lörz, AN</t>
  </si>
  <si>
    <t>Low diversity of spongicolous Amphipoda (Crustacea) observed in the Antarctic autumn</t>
  </si>
  <si>
    <t>ORGANISMS DIVERSITY &amp; EVOLUTION</t>
  </si>
  <si>
    <t>Amphipoda; Antarctica; Demospongiae; reproduction; seasonality; symbiosis</t>
  </si>
  <si>
    <t>SPONGES; FAUNA</t>
  </si>
  <si>
    <t>Sponges represent a major component of the Antarctic zoobenthos. They are known to act as hosts for several invertebrates, in the present investigation a total of 1193 specimens of Amphipoda living in the sponge tissue of three species of Demospongiae were observed. The sponges were collected in the Weddell Sea and at the Antarctic Peninsula in April, during the Antarctic autumn 2000. The population density, species richness, composition, and reproductive biology of the spongicolous Amphipoda was studied, More than 40 individuals were collected per 1000 cm(3) sponge tissue. Females of all species had eggs or embryos in their marsupia. Interestingly, their young will be released - even though most of the studied species are filter feeders - in the Antarctic autumn and winter. Spongicolous. inquiline Amphipoda may therefore not be influenced by the seasons as much as their free living relatives.</t>
  </si>
  <si>
    <t>Inst Zool, D-20146 Hamburg, Germany; Zool Museum, D-20146 Hamburg, Germany</t>
  </si>
  <si>
    <t>aloerz@uni-hamburg.de</t>
  </si>
  <si>
    <t>1439-6092</t>
  </si>
  <si>
    <t>1618-1077</t>
  </si>
  <si>
    <t>ORG DIVERS EVOL</t>
  </si>
  <si>
    <t>Org. Divers. Evol.</t>
  </si>
  <si>
    <t>10.1078/1439-6092-00010</t>
  </si>
  <si>
    <t>Evolutionary Biology; Zoology</t>
  </si>
  <si>
    <t>512NT</t>
  </si>
  <si>
    <t>WOS:000173331000005</t>
  </si>
  <si>
    <t>Rota, E</t>
  </si>
  <si>
    <t>Oversized enchytraeids (Annelida, Clitellata):: a comparative study, with a revised description of Lumbricillus maximus (Michaelsen)</t>
  </si>
  <si>
    <t>giant Enchytraeidae; Lumbricillus; Mesenchytraeus; Fridericia; Henlea; Grania; design constraints; geographical distribution</t>
  </si>
  <si>
    <t>BRITISH-COLUMBIA; OLIGOCHAETA; EVOLUTION; TAXONOMY; CANADA; YUKON</t>
  </si>
  <si>
    <t>Syntypes of the circum-Antarctic Lumbricillus Maximus (Michaelsen, 1888) are re-examined, and a giant Fridericia worm referable to F. hegemon (Vejdovsky, 1878) sensu lato is described from Greece. Their anatomical features are compared to those of two other gigantic representatives of the Enchytraeidae: Mesenchytraeus antaeus Rota &amp; Brinkhurst, 2000 and Henlea yukonensis Tynen &amp; Coates, 1991, both Canadian. Besides disclosing the structural peculiarities of the four genera, the observed differences are shown to reflect specific adaptations to particular environments, as exemplified by certain traits of the chaetae and body wall. In all four species, the nephridial apparatus is well developed and distributed along the body. The scheme of the vascular system follows the basic pattern of the family, with neither blood supply to the nephridia nor intraepidermal capillary networks, in spite of the increased respiratory needs imposed by a larger body and greater muscular activity. This and other design constraints imply limitations with regard to the geographical and ecological distribution of giant species within this family.</t>
  </si>
  <si>
    <t>Univ Siena, Dept Evolut Biol, I-53100 Siena, Italy</t>
  </si>
  <si>
    <t>University of Siena</t>
  </si>
  <si>
    <t>Rota, E (corresponding author), Univ Siena, Dept Evolut Biol, Via PA Mattioli 4, I-53100 Siena, Italy.</t>
  </si>
  <si>
    <t>Rota, Emilia/0000-0002-8235-6419</t>
  </si>
  <si>
    <t>URBAN &amp; FISCHER VERLAG</t>
  </si>
  <si>
    <t>JENA</t>
  </si>
  <si>
    <t>BRANCH OFFICE JENA, P O BOX 100537, D-07705 JENA, GERMANY</t>
  </si>
  <si>
    <t>10.1078/1439-6092-00019</t>
  </si>
  <si>
    <t>512NV</t>
  </si>
  <si>
    <t>WOS:000173331200005</t>
  </si>
  <si>
    <t>Brack, A; Horneck, G; Wynn-Williams, D</t>
  </si>
  <si>
    <t>Exo/astrobiology in Europe</t>
  </si>
  <si>
    <t>ORIGINS OF LIFE AND EVOLUTION OF BIOSPHERES</t>
  </si>
  <si>
    <t>chemical evolution; Europe; exoplanets; extremophiles; homochirality; hydrothermal systems; Mars; microfossils; micrometeorites; origins of life; panspermia; RNA; Titan</t>
  </si>
  <si>
    <t>CHEMICAL ETIOLOGY; SPORES SURVIVE; AMINO-ACIDS; LIFE; ORIGIN; MARS; BIOSPHERE; EARTH; SPECTROMETER; EXOBIOLOGY</t>
  </si>
  <si>
    <t>The question of the chemical origins of life is engraved in the European scientific patrimony as it can be traced back to the pioneer ideas of Charles Darwin, Louis Pasteur, and more recently to Alexander Oparin. During the last decades, the European community of origin of life scientists has organized seven out of the twelve International Conferences on the Origins of Life held since 1957. This community contributed also to enlarge the field of research to the study of life in extreme environments and to the search for extraterrestrial life, i.e. exobiology in its classical definition or astrobiology if one uses a more NASA-inspired terminology. The present paper aims to describe the European science background in exo/astrobiology as well as the project of a European Network of Exo/Astrobiology.</t>
  </si>
  <si>
    <t>CNRS, Ctr Biophys Mol, F-45071 Orleans, France; DLR, Inst Aerosp Med, D-51147 Cologne, Germany; British Antarctic Survey, Cambridge CB3 0ET, England</t>
  </si>
  <si>
    <t>Centre National de la Recherche Scientifique (CNRS); Helmholtz Association; German Aerospace Centre (DLR); UK Research &amp; Innovation (UKRI); Natural Environment Research Council (NERC); NERC British Antarctic Survey</t>
  </si>
  <si>
    <t>Brack, A (corresponding author), CNRS, Ctr Biophys Mol, Rue Charles Sadron, F-45071 Orleans, France.</t>
  </si>
  <si>
    <t>0169-6149</t>
  </si>
  <si>
    <t>1573-0875</t>
  </si>
  <si>
    <t>ORIGINS LIFE EVOL B</t>
  </si>
  <si>
    <t>Orig. Life Evol. Biosph.</t>
  </si>
  <si>
    <t>4-5</t>
  </si>
  <si>
    <t>10.1023/A:1011832902468</t>
  </si>
  <si>
    <t>Biology</t>
  </si>
  <si>
    <t>Life Sciences &amp; Biomedicine - Other Topics</t>
  </si>
  <si>
    <t>472GP</t>
  </si>
  <si>
    <t>WOS:000170975700008</t>
  </si>
  <si>
    <t>Makarova, LN; Shirochkov, AV</t>
  </si>
  <si>
    <t>Krivolutsky, A</t>
  </si>
  <si>
    <t>Impact of the solar wind dynamics on the ozone density variations</t>
  </si>
  <si>
    <t>OZONE VARIATIONS OF SOLAR ORIGIN</t>
  </si>
  <si>
    <t>C2 1 Symposium of COSPAR Scientific Commission C held at 33rd COSPAR Scientific Assembly</t>
  </si>
  <si>
    <t>MAGNETOPAUSE</t>
  </si>
  <si>
    <t>The analysis of the baloon and rocket measurement data reveals the changes of temperature in the polar and subpolar middle atmosphere with approaching of the magnetopause of the magnetosphere to the Earth. The data of the most observation points show the notable warming of the middle atmosphere in this situation, but there were some stations (Vostok in Antarctica and Frobisher Bay in Arctic) where the reverse dependence between these parameters was registered. The experimental data show that the total ozone content (TOC) decreases with approaching of the magnetopause to the Earth under both atmosphere warming or cooling at high altitudes. The drop in the TOC values is closely connected to increase of atmospheric electric field magnitude. The obtained results possibly could be explained in framework of the global electric circuit model. (C) 2001 COSPAR. Published by Elsevier Science Ltd. All rights reserved.</t>
  </si>
  <si>
    <t>Arctic &amp; Antarctic Res Inst, St Petersburg 199397, Russia</t>
  </si>
  <si>
    <t>Makarova, LN (corresponding author), Arctic &amp; Antarctic Res Inst, St Petersburg 199397, Russia.</t>
  </si>
  <si>
    <t>10.1016/S0273-1177(01)00309-X</t>
  </si>
  <si>
    <t>BT18R</t>
  </si>
  <si>
    <t>WOS:000172223600013</t>
  </si>
  <si>
    <t>Mathieu, M; Candiani, S; Pestarino, M; Rastogi, R; Vallarino, M</t>
  </si>
  <si>
    <t>Goos, HJT; Rastogi, RK; Vaudry, H; Pierantoni, R</t>
  </si>
  <si>
    <t>Neuropeptide tyrosine in the brain of the antarctic fish, Trematomus bernacchii</t>
  </si>
  <si>
    <t>PERSPECTIVE IN COMPARATIVE ENDOCRINOLOGY: UNITY AND DIVERSITY</t>
  </si>
  <si>
    <t>14th International Congress of Comparative Endocrinology</t>
  </si>
  <si>
    <t>MAY 26-30, 2001</t>
  </si>
  <si>
    <t>SORRENTO, ITALY</t>
  </si>
  <si>
    <t>PARAVENTRICULAR NUCLEUS; PANCREATIC-POLYPEPTIDE; PEPTIDE-YY; IMMUNOREACTIVITY; LOCALIZATION; PITUITARY; FOOD; RAT</t>
  </si>
  <si>
    <t>Antarctic notothenioids have developed unique freezing resistance adaptations, including brain diversification, to survive in subzero waters of the Southern Ocean surrounding Antarctica. In this study we describe the distribution of neuropeptide tyrosine (NPY)-immunoreactivity (ir) in the brain of T. bernacchii. Ir perikarya were found in the entopeduncular nucleus, preoptic nucleus, the nucleus of the lateral recess, and the dorsal tegmentum of the mesencephalon. Ir fibers were observed in the olfactory bulbs, telencephalon, hypothalamus, tectum, and ventral tegmentum of the rhombencephalon. Our results suggests that, in Trematomus, this peptide may be involved in the control of several brain functions, including olfactory activity, feeding behavior, somatosensory and visual information.</t>
  </si>
  <si>
    <t>Univ Genoa, Dept Expt Biol, Sect Neuroendocrinol &amp; Dev Biol, Genoa, Italy</t>
  </si>
  <si>
    <t>University of Genoa</t>
  </si>
  <si>
    <t>Univ Genoa, Dept Expt Biol, Sect Neuroendocrinol &amp; Dev Biol, Genoa, Italy.</t>
  </si>
  <si>
    <t>Pestarino, Mario/AAN-8128-2021; Simona, Candiani/P-8640-2014; Pestarino, Mario/B-9062-2011</t>
  </si>
  <si>
    <t>Pestarino, Mario/0000-0003-1681-8950</t>
  </si>
  <si>
    <t>MEDIMOND S R L</t>
  </si>
  <si>
    <t>40128 BOLOGNA</t>
  </si>
  <si>
    <t>VIA MASERATI 5, 40128 BOLOGNA, 00000, ITALY</t>
  </si>
  <si>
    <t>88-323-1526-2</t>
  </si>
  <si>
    <t>BU45E</t>
  </si>
  <si>
    <t>WOS:000176015100076</t>
  </si>
  <si>
    <t>Masini, MA; Sturla, M; Prato, P; Uva, BM</t>
  </si>
  <si>
    <t>Osmoregulation in the Antarctic teleost Histiodraco velifer</t>
  </si>
  <si>
    <t>FISHES</t>
  </si>
  <si>
    <t>In the Antarctic summer, Histiodraco velifer, a bentic species, migrates in search of food from a dense and salted environment to the more diluted water of the melting ice of the surface, its osmoregulatory mechanisms need therefore a constant and accurate adaptation. Two ion transport systems were studied by immunohistochemistry, the Na+-K+-Cl- cotransport and the Na+/K(+)ATPase. The enzymes presence in the cells of urinary bladder and gills was correlated to the density of mitochondria revealed by the antibody to the inner mitochondrial membrane (AMA). Na+/K(+)ATPase positivity was localised at the baso lateral sides of the cells. A Na+/K+/Cl- cotransporter protein was also immunolocalised in the same cells that also showed immunopositivity for the antibody against the mitochondrail inner membrane. Two osmoregulatory peptides, somatostatin and prolactin, were also localised in the interlamellar space of the gills and in the urinary bladder epithelium.</t>
  </si>
  <si>
    <t>Univ Genoa, Dipartimento Biol Sperimentale, DIBISAA, Genoa, Italy</t>
  </si>
  <si>
    <t>Masini, MA (corresponding author), Univ Genoa, Dipartimento Biol Sperimentale, DIBISAA, Genoa, Italy.</t>
  </si>
  <si>
    <t>UNSP B526C0180</t>
  </si>
  <si>
    <t>WOS:000176015100099</t>
  </si>
  <si>
    <t>Grzymski, J; Orrico, C; Schofield, OM</t>
  </si>
  <si>
    <t>Monochromatic ultraviolet light induced damage to Photosystem II efficiency and carbon fixation in the marine diatom Thalassiosira pseudonana (3H)</t>
  </si>
  <si>
    <t>PHOTOSYNTHESIS RESEARCH</t>
  </si>
  <si>
    <t>carbon fixation; fluorescence; Photosystem II; phytoplankton; ultra-violet light</t>
  </si>
  <si>
    <t>UV-B RADIATION; BIOLOGICAL WEIGHTING FUNCTION; ACTION SPECTRA; CHLOROPHYLL FLUORESCENCE; ANTARCTIC PHYTOPLANKTON; OZONE DEPLETION; CHLORELLA-PYRENOIDOSA; ELECTRON-TRANSPORT; ENERGY-TRANSFER; QUANTUM YIELD</t>
  </si>
  <si>
    <t>Low light adapted cultures of the marine diatom Thalassiosira pseudonana (3H) were cultured and incubated for 30 min under different ultraviolet (UV) wavelengths of near monochromatic light with and without background photosynthetically active radiation (PAR, 380-700 nm). Maximum damage to the quantum yield for stable charge separations was found in the UVB (280-320 nm) wavelengths without background PAR light while the damage under PAR was 30% less. UV induced damage to carbon fixation in the cells was described by a function similar to non-linear functions of inhibiting irradiance previously published with the exception that damage was slightly higher in the UVA (320-380). Various measurements of fluorescent transients were measured and the results indicate localised damage most likely on the acceptor side of the Photosystem II reaction center. However, dark adapted measurements of fluorescence transients with and without DCMU do not result in similar functions. This is also true for the relationships between fluorescence transients and carbon fixation for this species of marine diatom. The correlation between the weightings epsilon (H) from measurements of carbon fixation and the quantum yield for stable charge separation as calculated from induction curves with DCMU and without DCMU is R-2 0.44 and R-2 0.78, respectively. The slopes of the two measurements are 3.8 and 1.4, respectively. The strong correlation between the weightings of the induction curves without DCMU and carbon fixation are due to a loss of electron transport from the reaction center to plastoquinone. Under these experimental conditions of constant photon flux density (PFD) this is manifested as a strong linear relationship between the decrease in the operational quantum yield of Photosystem II and carbon fixation.</t>
  </si>
  <si>
    <t>Rutgers State Univ, Inst Marine &amp; Coastal Sci, New Brunswick, NJ 08901 USA</t>
  </si>
  <si>
    <t>Rutgers University System; Rutgers University New Brunswick</t>
  </si>
  <si>
    <t>Rutgers State Univ, Inst Marine &amp; Coastal Sci, 71 Dudley Rd, New Brunswick, NJ 08901 USA.</t>
  </si>
  <si>
    <t>joeg@imcs.rutgers.edu</t>
  </si>
  <si>
    <t>; Schofield, Oscar/H-4169-2018</t>
  </si>
  <si>
    <t>Grzymski, Joseph/0000-0003-2646-8958; Schofield, Oscar/0000-0003-2359-4131</t>
  </si>
  <si>
    <t>0166-8595</t>
  </si>
  <si>
    <t>1573-5079</t>
  </si>
  <si>
    <t>PHOTOSYNTH RES</t>
  </si>
  <si>
    <t>Photosynth. Res.</t>
  </si>
  <si>
    <t>10.1023/A:1012904402368</t>
  </si>
  <si>
    <t>Plant Sciences</t>
  </si>
  <si>
    <t>496EZ</t>
  </si>
  <si>
    <t>WOS:000172384400001</t>
  </si>
  <si>
    <t>Bravo, LA; Ulloa, N; Zuñiga, GE; Casanova, A; Corcuera, LJ; Alberdi, M</t>
  </si>
  <si>
    <t>Cold resistance in Antarctic angiosperms</t>
  </si>
  <si>
    <t>PHYSIOLOGIA PLANTARUM</t>
  </si>
  <si>
    <t>SUCROSE-PHOSPHATE SYNTHASE; LOLIUM-TEMULENTUM L; SECALE-CEREALE L; FREEZING TOLERANCE; DESCHAMPSIA-ANTARCTICA; LOW-TEMPERATURE; BARLEY LEAVES; WATER-STRESS; CARBOHYDRATE-METABOLISM; COLOBANTHUS-QUITENSIS</t>
  </si>
  <si>
    <t>Deschampsia antarctica Desv, (Poaceae) and Colobanthus quitensis (Kunth) Bartl, (Cariophyllaceae) are the only two vascular plants that have colonized the Maritime Antarctic, The primary purpose of the present work was to determine cold resistance mechanisms in these two Antarctic plants. This was achieved by comparing thermal properties of leaves and the lethal freezing temperature to 50% of the tissue (LT(50)), The grass D, antarctica was able to tolerate freezing to a lower temperature than C, quitensis. The main freezing resistance mechanism for C. quitensis is supercooling. Thus, the grass is mainly a freezing-tolerant species, while C, quitensis avoids freezing. D. antarctica cold acclimated by reducing its LT(50), C. quitensis showed little cold-acclimation capacity. Because day length is highly variable in the Antarctic, the effect of day length on freezing tolerance, growth, various soluble carbohydrates, starch, and proline contents in leaves of D. antarctica growing in the laboratory under cold-acclimation conditions was studied. During the cold-acclimation treatment, the LT(50) was lowered more effectively under long day (21/3 h light/dark) and medium day (16/8) light periods than under a short day period (8/16). The longer the day length treatment, the faster the growth rate for both acclimated and non-acclimated plants. Similarly, the longer the day treatment during cold acclimation, the higher the sucrose content (up to 7-fold with respect to non-acclimated control values). Oligo and polyfructans accumulated significantly during cold acclimation only with the medium day length treatment. Oligofructans accounted for more than 80%, of total fructans, The degrees of polymerization were mostly between 3 and 10, C, quitensis under cold acclimation accumulated a similar amount of sucrose than D, antarctica, but no fructans were detected. The suggestion that survival of Antarctic plants in the Antarctic could be at least partially explained by accumulation of these substances is discussed.</t>
  </si>
  <si>
    <t>Univ Concepcion, Fac Ciencias Nat &amp; Oceanog, Dept Bot, Concepcion, Chile; Univ Austral Chile, Fac Ciencias, Inst Bot, Valdivia, Chile; Univ Santiago, Fac Quim &amp; Biol, Dept Biol, Santiago, Chile</t>
  </si>
  <si>
    <t>Universidad de Concepcion; Universidad Austral de Chile; Universidad de Santiago de Chile</t>
  </si>
  <si>
    <t>Bravo, LA (corresponding author), Univ Concepcion, Fac Ciencias Nat &amp; Oceanog, Dept Bot, Casilla 160-C, Concepcion, Chile.</t>
  </si>
  <si>
    <t>lebravo@udec.cl</t>
  </si>
  <si>
    <t>Campos, Gustavo R C Ribeiro/O-3981-2017; Corcuera, Luis J/G-1714-2014; Bravo, Leon/H-9251-2018; Bravo, León/AAO-8437-2020; Casanova-Katny, Angelica/M-3994-2014; Zuñiga, Gustavo E/P-8306-2015</t>
  </si>
  <si>
    <t>Bravo, Leon/0000-0003-4705-4842; Bravo, León/0000-0003-4705-4842; Zuniga, Gustavo/0000-0002-8286-9468</t>
  </si>
  <si>
    <t>MALDEN</t>
  </si>
  <si>
    <t>COMMERCE PLACE, 350 MAIN ST, MALDEN 02148, MA USA</t>
  </si>
  <si>
    <t>0031-9317</t>
  </si>
  <si>
    <t>PHYSIOL PLANTARUM</t>
  </si>
  <si>
    <t>Physiol. Plant.</t>
  </si>
  <si>
    <t>10.1034/j.1399-3054.2001.1110108.x</t>
  </si>
  <si>
    <t>391VV</t>
  </si>
  <si>
    <t>WOS:000166377700008</t>
  </si>
  <si>
    <t>Nicolaus, B; Manca, MC; Lama, L; Esposito, E; Gambacorta, A</t>
  </si>
  <si>
    <t>Lipid modulation by environmental stresses in two models of extremophiles isolated from Antarctica</t>
  </si>
  <si>
    <t>POLAR BIOLOGY</t>
  </si>
  <si>
    <t>FATTY-ACID COMPOSITION; BACILLUS-ACIDOCALDARIUS; GROWTH TEMPERATURE; THERMOPHILIC BACILLUS; THERMAL ADAPTATION; MEMBRANE-LIPIDS; MOUNT-RITTMANN; SP-NOV; BACTERIA; HALOTOLERANT</t>
  </si>
  <si>
    <t>Thermoacidophilic and halotolerant microorganisms from the Antarctic continent were studied for their lipid modulation under stress growth conditions. Temperature-induced changes in complex lipids and fatty acids of four strains belonging to the genus Alicyclobacillus involved the relative proportions of different polar lipids and the synthesis of omega -cyclohexyl-acyl chains, which were favoured by high temperatures. Studies were carried out on the lipid composition of four strains of extremely halotolerant bacteria belonging to the genus Micrococcus grown at different salt concentrations from 0 up to 4.5 M NaCl. The main lipids found were two unidentified glycolipids and two phospholipids: 1,2 diacylglycero-3-phosphoryl-glycerol (PG) and cardiolipin (DPG). Among the strains analysed, the lipids of the Micrococcus strain Erebus were shown to be strongly influenced by salt concentrations, in that DPG and one glycolipid were absent at a low salt molarity while, under these conditions, PG was the main lipid found. The predominant fatty acids in all halotolerant strains were of the anteiso type; growth under increasing salinity gave rise to an increase in long chain fatty acids and of straight chain fatty acids, while a decrease in iso fatty acids occurred.</t>
  </si>
  <si>
    <t>CNR, Ist Chim Mol Interesse Biol, I-80072 Arco Felice, Italy</t>
  </si>
  <si>
    <t>Nicolaus, B (corresponding author), CNR, Ist Chim Mol Interesse Biol, Via Toiano 6, I-80072 Arco Felice, Italy.</t>
  </si>
  <si>
    <t>lama, licia/0000-0003-3312-204X</t>
  </si>
  <si>
    <t>0722-4060</t>
  </si>
  <si>
    <t>POLAR BIOL</t>
  </si>
  <si>
    <t>Polar Biol.</t>
  </si>
  <si>
    <t>10.1007/s003000000156</t>
  </si>
  <si>
    <t>Biodiversity Conservation; Ecology</t>
  </si>
  <si>
    <t>386TK</t>
  </si>
  <si>
    <t>WOS:000166077500001</t>
  </si>
  <si>
    <t>Moran, O; Melani, R</t>
  </si>
  <si>
    <t>Temperature-dependent conduction properties in Arctic fish peripheral nerves</t>
  </si>
  <si>
    <t>ANTARCTIC FISH; ACCLIMATION; ADAPTATION; MEMBRANES; VELOCITY; FIBERS</t>
  </si>
  <si>
    <t>The conduction properties of peripheral nerves from the Arctic fish species Arctic eelpouts (Lycodes sp.), snake blenny (Lumpenus lampretaeformis) and polar cod (Boreogadus saida), permanently adapted to low temperatures, were studied. Nerves of these fishes have two types of fibres, characterised by extracellular compound action potentials with fast (7 m/s) and slow (4 m/s) conduction velocities, as measured at 12 degreesC. The temperature dependence of the conduction velocity was bimodal, changing its slope at about 16 degreesC. The Q(10) above 16 degreesC was 1.12-1.49, while below 16 degreesC it was 1.82-2.16. Irreversible deterioration of the nerve was observed at temperatures around 19-27 degreesC. A comparison with data previously obtained from Mediterranean fishes indicates that Arctic fishes have similar temperature sensitivity of nerve conduction and a slight vertical displacement on the conduction velocity-temperature curves, which is insufficient to compensate the decrease of the conduction velocity at their physiological temperature, the conduction velocity of Arctic fishes being about one-half of that of temperate fishes. This suggests that this neurophysiological function is not fully cold-adapted in these Arctic fish species.</t>
  </si>
  <si>
    <t>CNR, Ist Cibernet &amp; Biofis, I-16149 Genoa, Italy</t>
  </si>
  <si>
    <t>Moran, O (corresponding author), CNR, Ist Cibernet &amp; Biofis, Via De Marini 6, I-16149 Genoa, Italy.</t>
  </si>
  <si>
    <t>moran@barolo.icb.ge.cnr.it</t>
  </si>
  <si>
    <t>Moran, Oscar/W-4277-2019</t>
  </si>
  <si>
    <t>10.1007/s003000000166</t>
  </si>
  <si>
    <t>WOS:000166077500002</t>
  </si>
  <si>
    <t>Clarke, JR</t>
  </si>
  <si>
    <t>Partitioning of foraging effort in Adelie penguins provisioning chicks at Bechervaise Island, Antarctica</t>
  </si>
  <si>
    <t>RESOURCE-ALLOCATION; PRYDZ BAY; TRIPS; LONG</t>
  </si>
  <si>
    <t>Analyses of the body masses of Adelie penguins (Pygoscelis adeliae) departing on foraging trips of long and short duration (&gt; and &lt; 40 h, respectively) during chick rearing showed that the departure weights of birds prior to long trips were significantly lighter than were those prior to short trips. Penguins, particularly males, were significantly heavier at the start of the guard stage than at the end and both sexes gained similar amounts of body mass during the creche period. Results support the hypothesis that the foraging effort of Adelie penguins at Bechervaise Island is partitioned between the sexes, with males accepting a net rate of negative energy gain to provide regular meals for their offspring during the guard stage. Adelie penguin foraging behaviour may be driven by a trade-off between the allocation of food to chicks and the storage of parental body reserves, similar to that previously postulated for some species of flying seabirds. The relevance of such a foraging strategy to the breeding success of penguins in the Mawson region of eastern Antarctica is discussed in relation to micronekton distribution in the area.</t>
  </si>
  <si>
    <t>Australian Antarctic Div, Kingston, Tas 7050, Australia</t>
  </si>
  <si>
    <t>judy.clarke@antdiv.gov.au</t>
  </si>
  <si>
    <t>1432-2056</t>
  </si>
  <si>
    <t>10.1007/s003000000168</t>
  </si>
  <si>
    <t>WOS:000166077500003</t>
  </si>
  <si>
    <t>Duró, A; Gili, JM</t>
  </si>
  <si>
    <t>Vertical distribution and abundance of juvenile chaetognaths in the Weddell Sea (Antarctica)</t>
  </si>
  <si>
    <t>POPULATION-STRUCTURE; COMMUNITIES</t>
  </si>
  <si>
    <t>The composition, abundance and vertical distribution of chaetognaths were analysed along a transect in the Weddell Sea during late spring. Three species were identified: Eukrohnia hamata (90.8%), Sagitta marri (6.4%) and S. gazellae (2.8%). Only juvenile stages were collected in the samples, a result related both to the type of sampling gear employed (mesh size: 100 mum) and the species' life-cycles. The vertical distributions showed that the juvenile stages of these species tended to aggregate at considerable depth (1000-500 m). It is postulated that this pattern may be related to the life-cycles of these species in association with seasonal Antarctic conditions, similar to the pattern postulated for krill and other polar crustaceans.</t>
  </si>
  <si>
    <t>CSIC, Inst Ciencia Mar, Placa Mar S-N, Barcelona 08039, Spain</t>
  </si>
  <si>
    <t>CSIC, Inst Ciencia Mar, Placa Mar S-N, Barcelona 08039, Spain.</t>
  </si>
  <si>
    <t>gili@icm.csic.es</t>
  </si>
  <si>
    <t>10.1007/s003000000181</t>
  </si>
  <si>
    <t>WOS:000166077500011</t>
  </si>
  <si>
    <t>Alekseev, GV; Johannessen, OM; Korablev, AA; Ivanov, VV; Kovalevsky, DV</t>
  </si>
  <si>
    <t>Interannual variability in water masses in the Greenland Sea and adjacent areas</t>
  </si>
  <si>
    <t>POLAR RESEARCH</t>
  </si>
  <si>
    <t>International Symposium on the Role of Ocean -Sea Ice-Atmosphere Interaction in Polar and Sub-Polar Climate</t>
  </si>
  <si>
    <t>SEP 21-24, 2000</t>
  </si>
  <si>
    <t>TROMSO, NORWAY</t>
  </si>
  <si>
    <t>ARCTIC-OCEAN; ATLANTIC</t>
  </si>
  <si>
    <t>Oceanographic data covering the period 1950-1998 are used to determine interannual variations in the convection intensity and water mass structure in the Greenland Sea and adjacent areas. Extremely cold winters throughout 1965-1970 assisted intensification of the water vertical exchange in the Greenland and Norwegian seas. As a result, cold and fresh Greenland Sea Deep Water (GSDW) production was extremely high in the central Greenland Sea while in the southern Norwegian Sea warm and salty water spread downwards. The recent rapid warming in the Greenland Sea Gyre interior from 1980 originates, we argue, from an increase in the Atlantic Water (AW) temperature due to the advection of warm waters into the region with the Return Atlantic Current. The negative water temperature and salinity trends in the upper 300 m layer of the Atlantic Water in the Norwegian Sea prevailed during 1950-1990, whereas during 1980-1990 the water temperature trends are indicative of warming of that layer. Observation series obtained onboard the Ocean Weather Ship Mike confirmed the existence of layers with advection-driven high oxygen concentrations in intermediate and deep layers. The depth of oxygen maxima and the values of oceanographic parameters at this horizon can be regarded as indicators of the convection intensity in the Arctic domain. A simultaneous rise in NAO index and GSDW temperature points to a link between atmospheric and thermohaline circulation. Weakening in water exchange with the North Atlantic could be the reason for the Polar Water recirculation increase within the Nordic seas.</t>
  </si>
  <si>
    <t>Arctic &amp; Antarctic Res Inst, St Petersburg 199397, Russia; Univ Bergen, Inst Geophys, Nansen Environm &amp; Remote Sensing Ctr, N-5059 Bergen, Norway; Nansen Int Environm &amp; Remote Sensing Ctr, St Petersburg 197110, Russia</t>
  </si>
  <si>
    <t>Arctic &amp; Antarctic Research Institute; University of Bergen; Nansen Environmental &amp; Remote Sensing Center (NERSC); Nansen Environmental &amp; Remote Sensing Center (NERSC)</t>
  </si>
  <si>
    <t>Alekseev, GV (corresponding author), Arctic &amp; Antarctic Res Inst, 38 Bering Str, St Petersburg 199397, Russia.</t>
  </si>
  <si>
    <t>Ivanov, Vladimir/J-5979-2014; Kovalevsky, Dmitry/K-7994-2012; Ivanov, Vladimir/AAX-6830-2020</t>
  </si>
  <si>
    <t>Ivanov, Vladimir/0000-0003-2569-6027; Kovalevsky, Dmitry/0000-0001-7331-1406;</t>
  </si>
  <si>
    <t>NORWEGIAN POLAR INST</t>
  </si>
  <si>
    <t>TROMSO</t>
  </si>
  <si>
    <t>POLAR ENVIRONMENTAL CENTRE, N-9296 TROMSO, NORWAY</t>
  </si>
  <si>
    <t>0800-0395</t>
  </si>
  <si>
    <t>POLAR RES</t>
  </si>
  <si>
    <t>Polar Res.</t>
  </si>
  <si>
    <t>10.1111/j.1751-8369.2001.tb00057.x</t>
  </si>
  <si>
    <t>Ecology; Geosciences, Multidisciplinary; Oceanography</t>
  </si>
  <si>
    <t>Environmental Sciences &amp; Ecology; Geology; Oceanography</t>
  </si>
  <si>
    <t>513UA</t>
  </si>
  <si>
    <t>WOS:000173396700012</t>
  </si>
  <si>
    <t>Schmidt, T; Desiati, P; Leich, H; Spiering, C; Drozdov, V</t>
  </si>
  <si>
    <t>Chen, HS</t>
  </si>
  <si>
    <t>The digital analog optical module (dAOM) - a technology for the AMANDA experiment at the South Pole</t>
  </si>
  <si>
    <t>PROCEEDINGS OF CHEP 2001</t>
  </si>
  <si>
    <t>International Conference on Computing in High Energy and Nuclear Physics (CHEP 01)</t>
  </si>
  <si>
    <t>SEP 03-07, 2001</t>
  </si>
  <si>
    <t>BEIJING, PEOPLES R CHINA</t>
  </si>
  <si>
    <t>AMANDA; slow control; digital communication; analog pulse transmission</t>
  </si>
  <si>
    <t>For the AMANDA experiment a new type of optical module - the digital Analog Optical Module (dAOM) - has been developed. It incorporates some local 'intelligence' for slow control and active electronics for analog pulse transmission. More than 20 dAOM prototypes have been successfully deployed into the polar ice during the 1999/2000 antarctic season and are running since that time. They are connected to the dAOM DAQ boards at the surface by single twisted pair cables over distances up to 2.7 km. CORBA based client-server applications establish world-wide, logical access to every dAOM.</t>
  </si>
  <si>
    <t>DESY, Zeuthen, Germany</t>
  </si>
  <si>
    <t>Helmholtz Association; Deutsches Elektronen-Synchrotron (DESY)</t>
  </si>
  <si>
    <t>Schmidt, T (corresponding author), DESY, Zeuthen, Germany.</t>
  </si>
  <si>
    <t>MONMOUTH JUNCTION</t>
  </si>
  <si>
    <t>2031 US HIGHWAY 130 STE F, MONMOUTH JUNCTION, NJ 08852-3014 USA</t>
  </si>
  <si>
    <t>1-880132-77-X</t>
  </si>
  <si>
    <t>Computer Science, Hardware &amp; Architecture; Computer Science, Information Systems; Computer Science, Software Engineering</t>
  </si>
  <si>
    <t>Computer Science</t>
  </si>
  <si>
    <t>BU64P</t>
  </si>
  <si>
    <t>WOS:000176592500151</t>
  </si>
  <si>
    <t>Ryan, T</t>
  </si>
  <si>
    <t>Roston, MA; Marx, KL</t>
  </si>
  <si>
    <t>Common fallacies about psittacine care</t>
  </si>
  <si>
    <t>PROCEEDINGS OF THE 22ND ANNUAL CONFERENCE AVIAN MEDICINE AND SURGERY</t>
  </si>
  <si>
    <t>22nd Annual Conference on Avian Medicine and Surgery</t>
  </si>
  <si>
    <t>APR 29-30, 2001</t>
  </si>
  <si>
    <t>LANCASTER, PA</t>
  </si>
  <si>
    <t>DEPRESSION</t>
  </si>
  <si>
    <t>Birds have evolved into over 8600 different species occupying all ecological zones on earth - from the Antarctic to the tropics, and from the land to the sea and to the air.(1) Although a number of species have been kept in captivity as pets and companions, many fallacies and half truths exist about them and their care. This lecture will cover some of the more common half truths and fallacies that exist.</t>
  </si>
  <si>
    <t>Feathers Scales &amp; Tails Vet Hosp, Westminster, MD USA</t>
  </si>
  <si>
    <t>Ryan, T (corresponding author), Feathers Scales &amp; Tails Vet Hosp, Westminster, MD USA.</t>
  </si>
  <si>
    <t>MID-ATLANTIC STATES ASSOC AVIAN VETERINARIANS</t>
  </si>
  <si>
    <t>BLACKSBURG</t>
  </si>
  <si>
    <t>MEMORIAL BLDG SUITE 291 610 N MAIN STREET, BLACKSBURG, VA 24060-3349 USA</t>
  </si>
  <si>
    <t>Ornithology; Veterinary Sciences</t>
  </si>
  <si>
    <t>Zoology; Veterinary Sciences</t>
  </si>
  <si>
    <t>BU68N</t>
  </si>
  <si>
    <t>WOS:000176705600021</t>
  </si>
  <si>
    <t>Cacciani, A; Di Martino, V; Rapex, P; Dolci, M; D'Alessio, F</t>
  </si>
  <si>
    <t>Wilson, A</t>
  </si>
  <si>
    <t>MOF data analysis of a 14 hour observing run in Antarctica</t>
  </si>
  <si>
    <t>PROCEEDINGS OF THE SOHO 10/GONG 2000 WORKSHOP ON HELIO- AND ASTEROSEISMOLOGY AT THE DAWN OF THE MILLENNIUM</t>
  </si>
  <si>
    <t>SOHO 10/GONG 2000 Workshop on Helio- and Asteroseismology at the Dawn of the Millennium</t>
  </si>
  <si>
    <t>OCT 02-06, 2000</t>
  </si>
  <si>
    <t>INST ASTROFIS CANARIAS, SANTA CRUZ TENERI, SPAIN</t>
  </si>
  <si>
    <t>INST ASTROFIS CANARIAS</t>
  </si>
  <si>
    <t>The Antarctic site, although not suitable for observations lasting longer than a few months, is nevertheless very useful for intercalibration and data merging purposes in networks for Helioseismology. The data we present and analyze here constitute an instrumental test. We present Power Spectra, I-V Phase Spectra, and other results from 14 hours out of a 30 day run.</t>
  </si>
  <si>
    <t>Univ La Sapienza, Dipartimento Fis, I-00185 Rome, Italy</t>
  </si>
  <si>
    <t>Cacciani, A (corresponding author), Univ La Sapienza, Dipartimento Fis, Ple Aldo Moro 2, I-00185 Rome, Italy.</t>
  </si>
  <si>
    <t>92-9092-697-X</t>
  </si>
  <si>
    <t>Astronomy &amp; Astrophysics; Physics, Applied</t>
  </si>
  <si>
    <t>Astronomy &amp; Astrophysics; Physics</t>
  </si>
  <si>
    <t>BS21T</t>
  </si>
  <si>
    <t>WOS:000169104500067</t>
  </si>
  <si>
    <t>Wright, JH; Reed, MJ</t>
  </si>
  <si>
    <t>ISEE; ISEE</t>
  </si>
  <si>
    <t>Blasting access holes in thick sea-ice, McMurdo sound, Antarctica</t>
  </si>
  <si>
    <t>PROCEEDINGS OF THE TWENTY-SEVENTH ANNUAL CONFERENCE ON EXPLOSIVES AND BLASTING TECHNIQUE, VOL I</t>
  </si>
  <si>
    <t>27th Annual Conference on Explosives and Blasting Technique</t>
  </si>
  <si>
    <t>JAN 28-31, 2001</t>
  </si>
  <si>
    <t>ORLANDO, FL</t>
  </si>
  <si>
    <t>Blasters with the United States Antarctic Program (USAP) have developed techniques for opening access holes in floating sea-ice where the use of conventional drilling equipment is impractical. The blasting techniques have proven successful in sea-ice ranging from 8 to 15 feet thick. Previous published work has treated in detail blasting holes in floating ice from 2 to 6 feet thick. The most common purpose for these holes is to provide access for scuba divers and small submersible vehicles to the submarine environment. Alternatively, the same methods have been used to raise basal ice to the surface, thus permitting scientific inspection and sampling of algal material found in the basal ice. Important factors affecting successful hole completion include: 1) selection of available explosives, and 2) physical properties of the sea-ice. 1. Available explosives are limited to what may be on hand at McMurdo Station, one of the most remote places on earth where re-supply and logistics are difficult. Moreover, the explosives must be suited for storage and use in extreme cold weather. 2. Physical properties of the sea-ice are anything but constant. Sea-ice varies in temperature, hardness, moisture content and rate of formation from week to week in the annual floating ice formation cycle. This paper presents the results of seven field seasons' work by USAP blasters from 1993 to present in developing successful access hole blasting techniques. Topics covered include: Purpose of Blasting Holes in Sea-Ice General Technique, and Description of a Completed Hole Method for Blasting Sea-Ice Holes, and Variations in Method Factors Affecting Successful Hole Completion Safety Issues Environmental Issues.</t>
  </si>
  <si>
    <t>INT SOC EXPLOSIVES ENGINEERS</t>
  </si>
  <si>
    <t>CLEVELAND</t>
  </si>
  <si>
    <t>29100 AURORA ROAD, CLEVELAND, OH 44139-1800 USA</t>
  </si>
  <si>
    <t>Engineering, Geological; Mining &amp; Mineral Processing</t>
  </si>
  <si>
    <t>Engineering; Mining &amp; Mineral Processing</t>
  </si>
  <si>
    <t>BT78L</t>
  </si>
  <si>
    <t>WOS:000174051500010</t>
  </si>
  <si>
    <t>Wright, JH</t>
  </si>
  <si>
    <t>Submarine blasting at Palmer Station, Antarctica</t>
  </si>
  <si>
    <t>During June and July 1999 a United States Antarctic Program (USAP) team of three commercial divers and one blaster successfully removed an underwater rock obstruction which interfered with safe docking practices of research vessels that call at Palmer Station - the USAP research facility located on Anvers Island, Palmer Peninsula Area, Antarctica. Ordinarily, such a project might be considered routine. However, certain aspects of the project, particularly those dealing with logistics in a remote corner of the earth, safeguards for marine biota, and working underwater in the dark of the austral winter, conspired to make this project interesting Even more challenging was ensuring the protection of the existing pier - a deeply corroded sheet pile structure backfilled with loose gravel and rock - which lay less than 50 feet away from the target obstruction, not to mention uncertainties at the outset as to the nature of the rock mass forming that obstruction. The rock removal team spent a number of the early dives assessing the target mass, and establishing survey control on the seafloor to guide the project. Early test blasting at the site - monitored by commercial blasting hydrophones - established the underwater shock wave and seafloor blast reflection characteristics. These in turn established not-to-exceed values for charge weights and shot distances - both for protection of the pier and of marine biota. Finally, an air-bubble curtain device employed for additional pier protection indicated 70% effective reduction of the peak underwater shock wave. This paper presents a description of the project operations and its results. Topics include: Background Planning and Logistics On Site Target Assessment Development of an Effective Bubble Curtain, Test Blasting Diving and Blasting Operations, Blast Effects Project Conclusion.</t>
  </si>
  <si>
    <t>WOS:000174051500020</t>
  </si>
  <si>
    <t>Campiotti, C; Balducchi, R; Incrocci, L; Pardossi, A; Popovski, K; Popovska, S</t>
  </si>
  <si>
    <t>BarTal, A; Plaut, Z</t>
  </si>
  <si>
    <t>Hydroponics technology as a tool for plant fresh food support in Antarctica</t>
  </si>
  <si>
    <t>PROCEEDINGS OF THE WORLD CONGRESS ON SOILLESS CULTURE: AGRICULTURE IN THE COMING MILLENIUM</t>
  </si>
  <si>
    <t>ACTA HORTICULTURAE</t>
  </si>
  <si>
    <t>World Congress on Soilless Culture</t>
  </si>
  <si>
    <t>MAY 14-18, 2000</t>
  </si>
  <si>
    <t>MAALE HACHAMISHA, ISRAEL</t>
  </si>
  <si>
    <t>Antarctica research; hydroponics; greenhouse conditioning; closed environments; nutrient film technique</t>
  </si>
  <si>
    <t>Hydroponics activities in all operating research stations in Antarctica are the sole source of fresh vegetables especially during winter months. Data are reported on the experimental activity carried out at the Terra Nova Bay - Antarctic Italian base aimed at developing an operational greenhouse hydroponics facility adapted for growing in situ plant fresh food. At this purpose, a prototype of a greenhouse module was adopted as a conditioned container equipped with a closed circulated hydroponic system, lighting, heating and ventilation. The greenhouse module was transported and installed at Terra Nova Bay at the beginning of November'97 and was employed during two campaigns in Antarctica (1997-98 and 1999-2000) for a total operative period of three months. Data are reported on how the prototype was designed and manufactured and on the first experiments with vegetable crops in Antarctica.</t>
  </si>
  <si>
    <t>ENEA, Div Agrobiotecnol &amp; Agr, I-00060 Rome, Italy</t>
  </si>
  <si>
    <t>Campiotti, C (corresponding author), ENEA, Div Agrobiotecnol &amp; Agr, I-00060 Rome, Italy.</t>
  </si>
  <si>
    <t>Incrocci, Luca/JKI-3290-2023</t>
  </si>
  <si>
    <t>Incrocci, Luca/0000-0001-9994-763X</t>
  </si>
  <si>
    <t>INTERNATIONAL SOCIETY HORTICULTURAL SCIENCE</t>
  </si>
  <si>
    <t>LEUVEN 1</t>
  </si>
  <si>
    <t>PO BOX 500, 3001 LEUVEN 1, BELGIUM</t>
  </si>
  <si>
    <t>0567-7572</t>
  </si>
  <si>
    <t>90-6605-854-4</t>
  </si>
  <si>
    <t>ACTA HORTIC</t>
  </si>
  <si>
    <t>10.17660/ActaHortic.2001.554.29</t>
  </si>
  <si>
    <t>Agriculture, Multidisciplinary; Horticulture</t>
  </si>
  <si>
    <t>Agriculture</t>
  </si>
  <si>
    <t>BS96R</t>
  </si>
  <si>
    <t>WOS:000171524100029</t>
  </si>
  <si>
    <t>Bühring, SI; Christiansen, B</t>
  </si>
  <si>
    <t>Lipids in selected abyssal benthopelagic animals:: links to the epipelagic zone?</t>
  </si>
  <si>
    <t>PROGRESS IN OCEANOGRAPHY</t>
  </si>
  <si>
    <t>PARTICULATE ORGANIC-MATTER; FATTY-ACID COMPOSITION; WAX ESTERS; DEEP-SEA; NORTHEAST ATLANTIC; THYSANOESSA-MACRURA; ANTARCTIC COPEPODS; ZOOPLANKTON; PACIFIC; PHOSPHOLIPIDS</t>
  </si>
  <si>
    <t>A detailed study of the lipids of selected zooplankton species and scavenging amphipods in the near-bottom water layer (15-100 m above bottom, mab) was carried out at the BENGAL site in late summer 1998. Copepoda were the main contributors to the zooplankton, comprising 75% of the total abundance, followed by Ostracoda and Chaetognatha. Calanoid copepods of the family Metridinidae were predominant and accounted for more than 50% of all copepods. Two types of storage lipids were distinguished: triacylglycerols and wax esters. Ostracoda and the polychaete Vanadis sp. stored exclusively triacylglycerols whilst the bulk of the Copepoda accumulated wax esters, with the exception of the family Aetideidae. In the amphipods both lipid classes were found: Eurythenes gryllus stored wax esters and Paralicella spp. and Orchomene sp. triacylglycerols. The fatty acid composition was characterized by a high level of monounsaturated 18:1 (n-9), which is described as characteristic for animals living in the deeper layers of the water column, and to a lesser degree by 16:1 (n-7) and 20:5 (n-3), which are typical components of diatom lipids, and 22:6 (n-3), typical of dinoflagellates. The ratio of 18:1 (n-9):18:1 (n-7) fatty acids was between 5 and 10 in the copepods and indicates a carnivorous/omnivorous feeding behaviour in this group, whereas the higher ratios of 8-18 in the amphipods confirm their necrophagy. The fatty alcohols of the animals storing wax esters were dominated by the monounsaturated isomers 18:1 (n-9) and 18:1 (n-7). The predominance of wax esters as storage lipids in the deep-sea copepods indicates a strong seasonality in the availability of food. This is supported by the high levels of 16:1 (n-7), 20:5 (n-3) and 22:6 (n-3) fatty acids, which point to there being a direct link between the surface primary production and deep-sea copepods, probably via the rapid deposition of phytodetritus. (C) 2001 Elsevier Science Ltd. All rights reserved.</t>
  </si>
  <si>
    <t>Univ Hamburg, Inst Hydrobiol &amp; Fischereiwissensch, D-22765 Hamburg, Germany</t>
  </si>
  <si>
    <t>University of Hamburg</t>
  </si>
  <si>
    <t>Christiansen, B (corresponding author), Univ Hamburg, Inst Hydrobiol &amp; Fischereiwissensch, Zeisweg 9, D-22765 Hamburg, Germany.</t>
  </si>
  <si>
    <t>bchristiansen@uni-hamburg.de</t>
  </si>
  <si>
    <t>Bühring, Solveig I./AAO-1446-2020</t>
  </si>
  <si>
    <t>Buhring, Solveig Irena/0000-0003-4378-5314</t>
  </si>
  <si>
    <t>0079-6611</t>
  </si>
  <si>
    <t>PROG OCEANOGR</t>
  </si>
  <si>
    <t>Prog. Oceanogr.</t>
  </si>
  <si>
    <t>1-4</t>
  </si>
  <si>
    <t>10.1016/S0079-6611(01)00061-1</t>
  </si>
  <si>
    <t>488RP</t>
  </si>
  <si>
    <t>WOS:000171949700018</t>
  </si>
  <si>
    <t>Gouretski, VV; Jancke, K</t>
  </si>
  <si>
    <t>Systematic errors as the cause for an apparent deep water property variability: global analysis of the WOCE and historical hydrographic data</t>
  </si>
  <si>
    <t>ANTARCTIC BOTTOM WATER; WESTERN BOUNDARY CURRENT; NORTH-ATLANTIC OCEAN; WEDDELL-SCOTIA CONFLUENCE; IAPSO STANDARD SEAWATER; SOUTH INDIAN-OCEAN; PACIFIC-OCEAN; THERMOCLINE VENTILATION; MEDITERRANEAN WATER; CIRCUMPOLAR CURRENT</t>
  </si>
  <si>
    <t>High-quality hydrographic sections occupied during the World Ocean Circulation Experiment (WOCE) have allowed the first estimates to be made of property changes in the deep ocean on a decadal time-scale. The magnitude of the property variability on deep isothermal surfaces (below about 2-3 degreesC) was found to be comparable with the magnitude of possible systematic errors in the data (except fur a few regions where formation of deep and bottom waters occurs). However, the problem of systematic errors in hydrographic data was only marginally addressed in the literature. We conducted an analysis of property offsets between the cruises of an expansive global hydrographic dataset, including 1314 cruises. Because of significant differences in quality, a distinction is made between the high-quality modern data (1970-1998) and less accurate historical data (since 1920s'). Inter-cruise offsets are determined on isothermal surfaces for salinity, oxygen, silicate, nitrate and phosphate within crossover areas. Offsets are decomposed into a systematic part (the difference of respective systematic errors (biases)) and a non-systematic part (a combined effect of temporal and spatial variability). For the reference subset of N=384 high-quality cruises with M=2201 crossover areas (for salinity) a system of M algebraic equations in N unknown cruise biases is obtained and solved by least squares. Accounting for biases allows a drastic reduction of inter-cruise offsets (a factor of 23 depending on property and dataset considered), bringing data from different cruises to agreement within WOCE quality requirements. For a composite WOCE/non-WOCE high-quality dataset calculated root-mean-square inter-cruise offsets before and after adjustment tin parentheses) are 3.2*10(-3) (1.34*10(-3)) for salinity, 2.498 (0.782) mu mol/kg for oxygen, 2.4 (0.95) mu mol/kg for silicate, 0.55 (0.26) mu mol/kg for nitrate and 0.045 (0.018) mu mol/kg for phosphate. Our results demonstrate, that quality requirements for the WOCE Hydrographic Programme have been obviously fulfilled. Biases for historical cruises are calculated relative to the corrected reference data and are found to be on average a factor of 3-6 larger than the modern cruise biases. Calculated property offsets and biases for both high-quality and historical data are found to be in a good agreement with independent offset estimates. Though small differences of IAPSO Standard Seawater salinity from label salinity are reported in the literature, they can not explain observed inter-cruise offsets, and operator/salinometer related errors seem to be the main cause for inter-cruise differences. Systematic biases can provide an explanation for apparent changes in deep water temperature-parameter relationships as an alternative to natural variability. For instance, we argue that apparent variability of the deep water salinity in the Argentine Basin during 1980s as reported by Coles, McCartney, and Olson (J. Geophys. Res. 101, 1996, 8957-8970) is mostly the result of systematic errors in the data used for their analysis. Removing inconsistencies in a composite data set is also important for producing consistent climatological property fields even in the data abundant regions. (C) 2001 Elsevier Science Ltd. All rights reserved.</t>
  </si>
  <si>
    <t>Bundesamt Seeschiffahrt &amp; Hydrog, D-20359 Hamburg, Germany</t>
  </si>
  <si>
    <t>Gouretski, VV (corresponding author), Bundesamt Seeschiffahrt &amp; Hydrog, Bernhard Nocht Str 78, D-20359 Hamburg, Germany.</t>
  </si>
  <si>
    <t>447HZ</t>
  </si>
  <si>
    <t>WOS:000169567000001</t>
  </si>
  <si>
    <t>Meyer-Rochow, VB; Royuela, M; Fraile, B; Paniagua, R</t>
  </si>
  <si>
    <t>Smooth muscle proteins as intracellular components of the chromatophores of the Antarctic fishes Pagothenia borchgrevinki and Trematomus bernacchii (Nototheniidae)</t>
  </si>
  <si>
    <t>PROTOPLASMA</t>
  </si>
  <si>
    <t>chromatophore; granule translocation; calponin; caldesmon; alpha-actinin; motility control</t>
  </si>
  <si>
    <t>PIGMENT TRANSPORT; ALPHA-ACTININS; CELL TYPES; CALDESMON; BINDING; MYOSIN; INVOLVEMENT; CALMODULIN; CALPONIN; MELANOPHORES</t>
  </si>
  <si>
    <t>Melanophores, xanthophores, and iridophores from the skins of the two Antarctic fish species Pagothenia borchgrevinki and Trematomus bernacchii were tested immunocytochemically for the presence of a variety of muscle proteins. Actin, myosin, and calmodulin, not surprisingly, were confirmed for all three chromatophore types of the two fishes, but the presence of caldesmon and calponin, both characteristic proteins of smooth muscle fibers, represents a new discovery. It is not known at this stage whether these proteins occur also in the chromatophores of other fishes and are not restricted to Antarctic species. Since, however, motility control of particles in fish chromatophores and the regulation of smooth muscle tension both involve the sympathetic nervous system, the presence of similar target proteins should not come as a surprise. The fact that none of the chromatophores tested positive for troponin shows that there is no close relationship between pigment cells and striated muscle. The lack of alpha-actinin in iridophores, but its presence in melanophores and xanthophores, is thought to be a reflection of the considerably greater pigment translocations within the latter two types of chroinatophore cells.</t>
  </si>
  <si>
    <t>Univ Oulu, Dept Biol, Inst Arctic Med, Oulu 90014, Finland; Univ Alcala de Henares, Dept Cell Biol &amp; Genet, Alcala De Henares 99775, Spain</t>
  </si>
  <si>
    <t>University of Oulu; Universidad de Alcala</t>
  </si>
  <si>
    <t>Univ Oulu, Dept Biol, Inst Arctic Med, POB 3000, Oulu 90014, Finland.</t>
  </si>
  <si>
    <t>vmr@cc.oulu.fi</t>
  </si>
  <si>
    <t>MEYER-ROCHOW, Victor Benno/AAJ-7258-2020</t>
  </si>
  <si>
    <t>Royuela, Mar/0000-0003-1999-9849; MEYER-ROCHOW, V. Benno/0000-0003-1531-9244</t>
  </si>
  <si>
    <t>0033-183X</t>
  </si>
  <si>
    <t>1615-6102</t>
  </si>
  <si>
    <t>Protoplasma</t>
  </si>
  <si>
    <t>10.1007/BF01288357</t>
  </si>
  <si>
    <t>Plant Sciences; Cell Biology</t>
  </si>
  <si>
    <t>476AP</t>
  </si>
  <si>
    <t>WOS:000171204100002</t>
  </si>
  <si>
    <t>Ingleby, NB</t>
  </si>
  <si>
    <t>The statistical structure of forecast errors and its representation in The Met. Office Global 3-D Variational Data Assimilation Scheme</t>
  </si>
  <si>
    <t>QUARTERLY JOURNAL OF THE ROYAL METEOROLOGICAL SOCIETY</t>
  </si>
  <si>
    <t>error covariances; forecast errors; variational data assimilation</t>
  </si>
  <si>
    <t>PRINCIPAL COMPONENTS; RADIOSONDE DATA; SYSTEM; MODEL; COVARIANCES; ANTARCTICA; ROTATION</t>
  </si>
  <si>
    <t>Previous studies and different methods of estimating short-range forecast errors are summarized. Zonally and temporally averaged statistics based on differences of one- and two-day forecasts valid at the same time are presented and an attempt is made to explain many of the features by reference to dynamical concepts. Vertical correlation length-scale tends to increase with horizontal correlation scale but to be very short in the Tropics; horizontal scale is longest in the Tropics and in the stratosphere. The variations in vertical correlation are much more pronounced for largely balanced variables such as rotational wind and temperature than they are for divergent wind or humidity. The extratropics are dominated by an equivalent barotropic mode with the level of the maximum wind amplitude land the zero crossing of the temperature correlation) being determined by the tropopause. Surface pressure is negatively correlated with low-level temperature as expected (except over the Antarctic plateau where it is positively correlated); it is also negatively correlated with temperatures near/above the tropopause in the extratropics. The covariance model used in The Met. Office Global Three-Dimensional Variational (3D-Var) Data Assimilation system represents the variation of vertical covariances with latitude reasonably well, but the longer horizontal scales in the stratosphere are not currently reproduced. The implied covariances used operationally have been modified so that the correlation length-scales, both horizontal and vertical, are somewhat shorter than those direct from the forecast differences. Recent changes to the representation are briefly described, with an indication of their impact on the forecasts. The impacts are significant relative to other changes tested, and the covariance model has played a major role in the successful implementation and subsequent improvement of our 3D-Var system.</t>
  </si>
  <si>
    <t>Met Off, Bracknell RG12 2SZ, Berks, England</t>
  </si>
  <si>
    <t>Met Office - UK</t>
  </si>
  <si>
    <t>Ingleby, NB (corresponding author), Met Off, London Off, Bracknell RG12 2SZ, Berks, England.</t>
  </si>
  <si>
    <t>ROYAL METEOROLOGICAL SOC</t>
  </si>
  <si>
    <t>READING</t>
  </si>
  <si>
    <t>104 OXFORD ROAD, READING RG1 7LJ, BERKS, ENGLAND</t>
  </si>
  <si>
    <t>0035-9009</t>
  </si>
  <si>
    <t>Q J ROY METEOR SOC</t>
  </si>
  <si>
    <t>Q. J. R. Meteorol. Soc.</t>
  </si>
  <si>
    <t>10.1256/smsqj.57111</t>
  </si>
  <si>
    <t>400JG</t>
  </si>
  <si>
    <t>WOS:000166868000011</t>
  </si>
  <si>
    <t>Calanca, P</t>
  </si>
  <si>
    <t>A note on the roughness length for temperature over melting snow and ice</t>
  </si>
  <si>
    <t>melting snow and ice; roughness length; stable stratification; temperature defect</t>
  </si>
  <si>
    <t>SCALAR TRANSFER-COEFFICIENTS; STABLE BOUNDARY-LAYER; KATABATIC WIND REGION; ANTARCTIC PLATEAU; SENSIBLE HEAT; SURFACE DRAG; WATER-VAPOR; FLUXES; SHEET; SEA</t>
  </si>
  <si>
    <t>The characteristics of roughness length for temperature, z(T), over melting snow and ice are examined on the base elf data gathered during one summer season on the Greenland ice sheet. Despite fixed surface temperature and homogeneous surface conditions, z(T) is highly variable, taking on values between 10(-5) and 1 m. Mean value and median are computed as 2 x 10(-2) m and 1 x 10(-3) m. It thus turns out that z(T) is about 10 to 100 times larger than the aerodynamic roughness length, to. This disparity cannot be explained in terms of the roughness Reynolds number. Rather, the data show that over melting snow and ice, and for slightly stable conditions, z(T) is uniquely determined by the temperature defect.</t>
  </si>
  <si>
    <t>Univ Zurich, Swiss Fed Inst Technol, CH-8057 Zurich, Switzerland</t>
  </si>
  <si>
    <t>Swiss Federal Institutes of Technology Domain; ETH Zurich; University of Zurich</t>
  </si>
  <si>
    <t>Calanca, P (corresponding author), Univ Zurich, Swiss Fed Inst Technol, Winterthurerstr 190, CH-8057 Zurich, Switzerland.</t>
  </si>
  <si>
    <t>10.1002/qj.49712757114</t>
  </si>
  <si>
    <t>WOS:000166868000013</t>
  </si>
  <si>
    <t>Paltridge, GW</t>
  </si>
  <si>
    <t>A physical basis for a maximum of thermodynamic dissipation of the climate system</t>
  </si>
  <si>
    <t>climate system; entropy production; extremum principle; turbulent transfer</t>
  </si>
  <si>
    <t>MINIMUM ENTROPY PRODUCTION; RADIATION; ATMOSPHERE; PRINCIPLE; MODELS</t>
  </si>
  <si>
    <t>A mechanism is proposed by which the energy flow through a turbulent medium might be constrained to maximize its dissipation or (equivalently) its thermodynamic efficiency. The mechanism may provide a physical basis for the various findings over the years that the earth-atmosphere system has adopted a format which maximizes its overall rate of entropy production. The qualitative picture is of a system which, because of the asymmetry of its turbulent fluctuations about the locus of possible steady states determined by energy balance, moves to a preferred steady state and therefore to a preferred turbulent transfer coefficient.</t>
  </si>
  <si>
    <t>Univ Tasmania, Antarctic CRC &amp; IASOS, Hobart, Tas, Australia</t>
  </si>
  <si>
    <t>Paltridge, GW (corresponding author), Univ Tasmania, Antarctic CRC &amp; IASOS, GPO Box 252-80, Hobart, Tas, Australia.</t>
  </si>
  <si>
    <t>416FV</t>
  </si>
  <si>
    <t>WOS:000167770400002</t>
  </si>
  <si>
    <t>Tulaczyk, SM; Scherer, RP; Clark, CD</t>
  </si>
  <si>
    <t>A ploughing model for the origin of weak tills beneath ice streams: a qualitative treatment</t>
  </si>
  <si>
    <t>QUATERNARY INTERNATIONAL</t>
  </si>
  <si>
    <t>15th International-Union-for-Quaternary-Association Congress</t>
  </si>
  <si>
    <t>AUG 06, 1999</t>
  </si>
  <si>
    <t>DURBAN, SOUTH AFRICA</t>
  </si>
  <si>
    <t>LAKE-MICHIGAN LOBE; WEST ANTARCTICA; BED DEFORMATION; SUBGLACIAL GEOLOGY; BASAL MECHANICS; RING-SHEAR; ROSS SEA; SHEET; FLOW; LAURENTIDE</t>
  </si>
  <si>
    <t>Glaciological studies of West Antarctic ice streams have shown that weak sub-ice-stream tills provide the basal lubrication that makes fast ice streaming possible under low driving stresses. Given the significant current interest in time-dependent ice stream behavior, there is a clear need for a conceptual model of weak sub-ice-stream tills that treats in a simple, but physically correct, way the coupling between evolution of till properties and ice stream dynamics. As a possible alternative to the previous, viscous-bed model, we propose a ploughing model that is consistent with the experimentally determined Coulomb-plastic rheology of sub-ice-stream till. In the ploughing model, the till is a several-meters-thick layer of sedimentary material that is disturbed and transported by ploughing that occurs during sliding of a bumpy ice base. The thickness of the till layer is determined in the ploughing model by the amplitude of the largest roughness elements (ice keels). There is no direct proof for the existence of ice bumps and ice keels beneath the modern West Antarctic ice streams but bedforms (e.g. megalineations and bundle structures) left behind by Pleistocene ice streams strongly support our assumption that an ice stream base is irregular. Generation of new till material occurs when ice keels protrude through the existing till layer and erode the top of the sub-till preglacial sediments. Based on a single tethered stake measurement of Engelhardt and Kamb (J. Glaciol. 44 (1998) 223) made at the UpB camp. Ice Stream B, West Antarctica (Fig. 1), we estimate that the till flux due to sliding with ploughing is there &lt; 88 m(3) yr(-1) per meter width. To balance the estimated till flux in the UpB area, substrata erosion by ice keels would have to take place at a high, but not unreasonable, non-dimensional rate of &lt;1.7 x 10(-4) (assuming 1% contact area). In the case of the West Antarctic ice streams, erosion of sub-till materials by ice keels may be particularly fast and unimpeded because these ice streams are overriding unlithified preglacial (Tertiary) sediments. The most significant implication of the proposed ploughing model is that it permits treating basal resistance to ice motion as being velocity independent (plastic till rheology) while allowing subglacial transport of till as in the viscous-bed model. Models of ice streams with a plastic bed exhibit a greater potential for unstable behavior than models of ice streams with viscous beds. (C) 2001 Elsevier Science Ltd and INQUA. All rights reserved.</t>
  </si>
  <si>
    <t>Univ Kentucky, Dept Geol Sci, Lexington, KY 40506 USA; No Illinois Univ, Dept Geol, De Kalb, IL 61125 USA; Univ Sheffield, Dept Geog, Sheffield S10 2TN, S Yorkshire, England; Univ Sheffield, Sheffield Ctr Earth Observ Sci, Sheffield S10 2TN, S Yorkshire, England</t>
  </si>
  <si>
    <t>University of Kentucky; Northern Illinois University; University of Sheffield; University of Sheffield</t>
  </si>
  <si>
    <t>Univ Calif Santa Cruz, Dept Earth Sci, Santa Cruz, CA 95064 USA.</t>
  </si>
  <si>
    <t>tulaczyk@es.ucsc.edu</t>
  </si>
  <si>
    <t>Tulaczyk, Slawek/O-7375-2018; clark, chris/C-3830-2009</t>
  </si>
  <si>
    <t>Tulaczyk, Slawek/0000-0002-9711-4332; clark, chris/0000-0002-1021-6679</t>
  </si>
  <si>
    <t>1040-6182</t>
  </si>
  <si>
    <t>1873-4553</t>
  </si>
  <si>
    <t>QUATERN INT</t>
  </si>
  <si>
    <t>Quat. Int.</t>
  </si>
  <si>
    <t>10.1016/S1040-6182(01)00050-7</t>
  </si>
  <si>
    <t>504XB</t>
  </si>
  <si>
    <t>WOS:000172880400005</t>
  </si>
  <si>
    <t>Ledru, MP; Cordeiro, RC; Dominguez, JML; Martin, L; Mourguiart, P; Sifeddine, A; Turcq, B</t>
  </si>
  <si>
    <t>Late-glacial cooling in Amazonia inferred from pollen at Lagoa do Caco, northern Brazil</t>
  </si>
  <si>
    <t>QUATERNARY RESEARCH</t>
  </si>
  <si>
    <t>palynology; South America; Brazil; late-glacial; Podocarpus; Amazonia; polar advection; meteorological equator</t>
  </si>
  <si>
    <t>CLIMATIC CHANGES; RAIN-FOREST; ICE CORES; YR BP; RECORDS; ATLANTIC; HOLOCENE; ANDES; BASIN; SEDIMENTATION</t>
  </si>
  <si>
    <t>New pollen data from a core at Lagoa do Caco, Maranhao state, Brazil (2 degrees 58'S 43 degrees 25'W; 120 m elevation), show higher frequencies of Podocarpus at the end of the Pleistocene than today. The increase in Podocarpus, which follows the successive increase of various pioneer species such as Didymopanax, Melastomataceae/Combretaceae, and Cecropia, implies a progressive late-glacial increase of moist and cool climatic conditions. A comparable increase in Podocarpus is found in other lowland records in Amazonia. A review of published pollen data from Amazonia suggests that the moisture source was from the southeast. By contrast, present-day moisture comes from the tropical Atlantic and from the Amazon basin, with its convective precipitation. The likely cause for the southeastern moisture source between ca. 15,000 and 14,500 cal yr B.P. was enhanced polar (Antarctic) advection that reached low latitudes and maintained year-round the meteorological equator in its austral-winter position at northern latitudes or reduced drastically its southward summer displacement. This hypothesis is consistent with marine and ice core records. (C) 2001 University of Washington.</t>
  </si>
  <si>
    <t>Univ Sao Paulo, Inst Geociencias, Dept Geol Sedimentar &amp; Ambiental, CNPq IRD,ORSTOM, BR-05422970 Sao Paulo, SP, Brazil; Univ Fed Fluminense, Dept Geoquim, CNPq IRD, ORSTOM, BR-24020007 Niteroi, RJ, Brazil; Univ Fed Bahia, Lab Estudios Costeiros, CPGG, IGEO,CNPq IRD,ORSTOM, BR-40210340 Salvador, BA, Brazil; Univ Pau &amp; Pays Adour, Dept Ecol, Inst Rech Dev, ORSTOM, F-64600 Anglet, France; Inst Rech Dev IRD, ORSTOM, F-93143 Bondy, France</t>
  </si>
  <si>
    <t>Universidade de Sao Paulo; Institut de Recherche pour le Developpement (IRD); Universidade Federal Fluminense; Institut de Recherche pour le Developpement (IRD); Institut de Recherche pour le Developpement (IRD); Universidade Federal da Bahia; Universite de Pau et des Pays de l'Adour; Institut de Recherche pour le Developpement (IRD); Institut de Recherche pour le Developpement (IRD)</t>
  </si>
  <si>
    <t>Ledru, MP (corresponding author), Univ Sao Paulo, Inst Geociencias, Dept Geol Sedimentar &amp; Ambiental, CNPq IRD,ORSTOM, Caixa Postal 11348, BR-05422970 Sao Paulo, SP, Brazil.</t>
  </si>
  <si>
    <t>Sifeddine, Abdel/H-9828-2015; Turcq, Bruno Jean/IYJ-9120-2023; Dominguez, José Maria Landim/AAB-9181-2020; Dominguez, José M L/I-4365-2014; Campello Cordeiro, Renato/J-8870-2013</t>
  </si>
  <si>
    <t>Turcq, Bruno Jean/0000-0002-7782-5268; Ledru, Marie-Pierre/0000-0002-8079-9320; Campello Cordeiro, Renato/0000-0002-6785-601X</t>
  </si>
  <si>
    <t>525 B ST, STE 1900, SAN DIEGO, CA 92101-4495 USA</t>
  </si>
  <si>
    <t>0033-5894</t>
  </si>
  <si>
    <t>QUATERNARY RES</t>
  </si>
  <si>
    <t>Quat. Res.</t>
  </si>
  <si>
    <t>10.1006/qres.2000.2187</t>
  </si>
  <si>
    <t>409XE</t>
  </si>
  <si>
    <t>WOS:000167410300007</t>
  </si>
  <si>
    <t>Marrero, J; Farías, S; Smichowski, P</t>
  </si>
  <si>
    <t>Influence of sample pre-treatment on the determination of As and Se in Antarctic krill by HG-ICP-AES</t>
  </si>
  <si>
    <t>QUIMICA ANALITICA</t>
  </si>
  <si>
    <t>microwave digestion; dry ashing; Antarctic krill; aresenic; selenium; HG-ICP-AES detection</t>
  </si>
  <si>
    <t>ATOMIC-ABSORPTION SPECTROMETRY; PLASMA-MASS-SPECTROMETRY; BIOLOGICAL REFERENCE MATERIALS; MICROWAVE-ASSISTED DIGESTION; HYDRIDE-GENERATION; TRACE-ELEMENTS; EMISSION-SPECTROMETRY; GRAPHITE-FURNACE; SELENIUM; DECOMPOSITION</t>
  </si>
  <si>
    <t>Three digestion procedures for Antarctic krill samples were compared for the reliable determination of two environmentally significant trace elements. A dry ashing (DA) procedure with magnesium nitrate and two microwave (MW) acid assisted digestion methods (with HNO3/H2O2 and HNO3/HF) were tested for decomposing the certified reference material MURST-ISS-A2 (antarctic krill) for the subsequent determination of As and Se by HG-ICP-AES. Microwave procedures, namely MW1 and MW2, were insufficient to digest As and Se in this marine organism. The recoveries achieved were: 37.3% +/- 2.2% (MW1) and 30.9 +/- 1.6% (MW2) for As: 43.2 +/- 2.0% (MW1) and 41.61.8% (MW2) for Se. On the other hand, the results obtained using the dry ashing method at 500 degreesC were consistent with the reference values with recoveries around 100%. The optimum working conditions and the order of sample, NaBH4 and KI mixing during the simultaneous hydride generation of As and Se were studied. Under optimised conditions detection limits of As and Se ranged between 22 and 50 ng g(-1) for the three methods tested. In all cases precisions were better than 7%.</t>
  </si>
  <si>
    <t>Comis Nacl Energia Atom, Unidad Actividad Geol, UPESN, RA-1429 Buenos Aires, DF, Argentina; Comis Nacl Energia Atom, Unidad Actividad Quim, CAC, RA-1429 Buenos Aires, DF, Argentina</t>
  </si>
  <si>
    <t>Comision Nacional de Energia Atomica (CNEA); Comision Nacional de Energia Atomica (CNEA)</t>
  </si>
  <si>
    <t>Smichowski, P (corresponding author), Comis Nacl Energia Atom, Unidad Actividad Geol, UPESN, Av Libertador 8250, RA-1429 Buenos Aires, DF, Argentina.</t>
  </si>
  <si>
    <t>ELSEVIER INFORMACION PROFESSIONAL, S A</t>
  </si>
  <si>
    <t>BARCELONA</t>
  </si>
  <si>
    <t>C/ENTENCA, 28 ENTL, 08015 BARCELONA, SPAIN</t>
  </si>
  <si>
    <t>0212-0569</t>
  </si>
  <si>
    <t>QUIM ANAL</t>
  </si>
  <si>
    <t>Quim. Anal.</t>
  </si>
  <si>
    <t>420PR</t>
  </si>
  <si>
    <t>WOS:000168013800002</t>
  </si>
  <si>
    <t>Gazazian, ED; Ispirian, KA; Vardanyan, AS</t>
  </si>
  <si>
    <t>Saltzberg, D; Gorham, P</t>
  </si>
  <si>
    <t>Coherent transition radiation produced in clouds, ice and salt by shower particles</t>
  </si>
  <si>
    <t>RADIO DETECTION OF HIGH ENERGY PARTICLES</t>
  </si>
  <si>
    <t>AIP CONFERENCE PROCEEDINGS</t>
  </si>
  <si>
    <t>1st International Workshop on Radio Detection of High Energy Particles (RADHEP 2000)</t>
  </si>
  <si>
    <t>NOV 16-18, 2000</t>
  </si>
  <si>
    <t>LOS ANGELES, CA</t>
  </si>
  <si>
    <t>Using the values of the dielectric constant, epsilon, determined with the help of various models the intensity of the coherent transition radiation (CTR) produced by extended air shower (EAS) particles is calculated in tire meter wave length region. CTR produced at cite inhomogeneities of Antarctic ice and mine salt dielectric constant is also considered. The possibilities of detection of such CTR and its influence, On cosmic ray particle radio detection is discussed.</t>
  </si>
  <si>
    <t>Yerevan Phys Inst, Yerevan 375036, Armenia</t>
  </si>
  <si>
    <t>Yerevan Physics Institute</t>
  </si>
  <si>
    <t>Gazazian, ED (corresponding author), Yerevan Phys Inst, Alikhanian Brothers St 2, Yerevan 375036, Armenia.</t>
  </si>
  <si>
    <t>AMER INST PHYSICS</t>
  </si>
  <si>
    <t>MELVILLE</t>
  </si>
  <si>
    <t>2 HUNTINGTON QUADRANGLE, STE 1NO1, MELVILLE, NY 11747-4501 USA</t>
  </si>
  <si>
    <t>0094-243X</t>
  </si>
  <si>
    <t>0-7354-0018-0</t>
  </si>
  <si>
    <t>AIP CONF PROC</t>
  </si>
  <si>
    <t>BS97M</t>
  </si>
  <si>
    <t>WOS:000171562900010</t>
  </si>
  <si>
    <t>Alvarez-Muñiz, J; Zas, E</t>
  </si>
  <si>
    <t>Calculations of radio pulses from high energy showers</t>
  </si>
  <si>
    <t>NEUTRINO DETECTION; ANTARCTIC ICE</t>
  </si>
  <si>
    <t>In this article-we review the progress made in understanding tile main characteristics of coherent Cerenkov radiation induced by high energy showers in dense media. A specific code developed for this purpose is described because it took a significant part in this process. Subsequent approximations developed for the calculation of radio pulses from EeV showers are reviewed. Emphasis is given to the relation between the shower characteristics and different features of tile corresponding radio emission.</t>
  </si>
  <si>
    <t>Univ Delaware, Bartol Res Inst, Newark, DE 19711 USA</t>
  </si>
  <si>
    <t>Alvarez-Muñiz, J (corresponding author), Univ Delaware, Bartol Res Inst, Newark, DE 19711 USA.</t>
  </si>
  <si>
    <t>Alvarez-Muniz, Jaime/H-1857-2015; Zas, Enrique/I-5556-2015</t>
  </si>
  <si>
    <t>Alvarez-Muniz, Jaime/0000-0002-2367-0803; Zas, Enrique/0000-0002-4430-8117</t>
  </si>
  <si>
    <t>WOS:000171562900011</t>
  </si>
  <si>
    <t>Seckel, D</t>
  </si>
  <si>
    <t>In-ice radio detection of GZK neutrinos</t>
  </si>
  <si>
    <t>AIP Conference Proceedings</t>
  </si>
  <si>
    <t>ULTRAHIGH-ENERGY NEUTRINOS; COSMIC-RAYS; SHOWERS; PULSES; ORIGIN; QCD</t>
  </si>
  <si>
    <t>Models for the source and propagation of cosmic rays are stressed by observations of cosmic rays with energies E &gt; 10(20) eV. A key discriminant between different models may be complementary observations of neutrinos with energies B &gt; 10(18) eV. Independent of thc source of the cosmic rays, neutrinos are produced during propagation via the GZK mechanism. Event rates for GZK neutrinos are expected to be in the range of 0.01 - 0.1 per km(3) yr, suggesting a detector mass in excess of 1 Eg. Detection of radio cherenkov emission front showers produced in Antarctic ice may be an economical way to instrument. such a large mass. It, is suggested that a 100 km(2) array of antennas; centered on Icecube may allow confirmation of the radio technique and also increase the science achievable wit It Icecube by providing vertex information for events wit It throughgoing unions.</t>
  </si>
  <si>
    <t>Univ Delaware, Bartol Res Inst, Newark, DE 19716 USA</t>
  </si>
  <si>
    <t>Seckel, D (corresponding author), Univ Delaware, Bartol Res Inst, Newark, DE 19716 USA.</t>
  </si>
  <si>
    <t>WOS:000171562900019</t>
  </si>
  <si>
    <t>Elbakian, SS; Gazazian, ED; Ispirian, KA; Ispirian, RK; Sanosyan, KN</t>
  </si>
  <si>
    <t>Coherent radio radiation of 15MeV ÷ 30GeV electron and photon bunches in thin and thick radiators</t>
  </si>
  <si>
    <t>TRANSITION</t>
  </si>
  <si>
    <t>To understand the recent experimental results on coherent radiation in tile radio wave region produced by bunches of 15MeV electrons [1] and 30GeV bremsstrahlung photons [2] as well as to carry out similar experiments with the help of 20MeV, 50MeV and 4.5GeV electron and photon beams at Yerevan Synchrotron, the angular and spectral distributions of the radiation produced in thin and thick radiators are calculated using the theories of Cherenkov (ChR) and transition radiation (TR) and of the radiation of variable charges [3] as well as of the, radiation at distances comparable with tho formation zone [4]. The comparison of the obtained results with those of the Monte Carlo calculations of the type [5] and experimental results [1,2] is important for the projects and works oil tho detection of super high energy neutrinos with the help of radio radiation of the electromagnetic showers produced in Antarctic ice.</t>
  </si>
  <si>
    <t>Elbakian, SS (corresponding author), Yerevan Phys Inst, Alikhanyan Brothers St 2, Yerevan 375036, Armenia.</t>
  </si>
  <si>
    <t>WOS:000171562900023</t>
  </si>
  <si>
    <t>Dowden, R; Rodger, C; Brundell, J; Clilverd, M</t>
  </si>
  <si>
    <t>Decay of whistler-induced electron precipitation and cloud-ionosphere electrical discharge Trimpis: Observations and analysis</t>
  </si>
  <si>
    <t>RADIO SCIENCE</t>
  </si>
  <si>
    <t>LIGHTNING-INDUCED IONIZATION; SUBIONOSPHERIC VLF SIGNATURES; NIGHTTIME D-REGION; RED SPRITES; AMPLITUDE PERTURBATIONS; SCATTERING PATTERN; LOCATION; PLASMA; EVENTS; PROPAGATION</t>
  </si>
  <si>
    <t>There are two distinctly different causes of phase and amplitude perturbations of subionospheric VLF transmissions (termed Trimpis): (1) ionization enhancement in the ionospheric D region due to whistler-induced electron precipitation (WEP) and (2) modifications to the ionosphere induced directly by lightning. The latter appear to be subdivided into ionization anomalies produced by cloud-ionosphere electrical discharge (CID), or red sprites, and heating anomalies which may not involve ionization at all. Here we consider only Trimpis (WEP and CID) produced by ionization and find that the magnitude of the Trimpi perturbation (which includes both the amplitude and phase perturbations) of both Trimpi types decays logarithmically rather than exponentially with time. While this has been previously shown for CID Trimpis, the decay of WEP Trimpis was previously thought to be exponential.</t>
  </si>
  <si>
    <t>LF EM Res Ltd, Dunedin 9001, New Zealand; British Antarctic Survey, Cambridge CB3 0ET, England; Univ Otago, Dept Phys, Dunedin, New Zealand</t>
  </si>
  <si>
    <t>UK Research &amp; Innovation (UKRI); Natural Environment Research Council (NERC); NERC British Antarctic Survey; University of Otago</t>
  </si>
  <si>
    <t>Dowden, R (corresponding author), LF EM Res Ltd, 17 Dunedin Wtt Highway,Pine Hill, Dunedin 9001, New Zealand.</t>
  </si>
  <si>
    <t>Rodger, Craig/A-1501-2011; Brundell, James/F-3196-2013</t>
  </si>
  <si>
    <t>Brundell, James/0000-0002-8753-4720; Rodger, Craig J./0000-0002-6770-2707</t>
  </si>
  <si>
    <t>0048-6604</t>
  </si>
  <si>
    <t>RADIO SCI</t>
  </si>
  <si>
    <t>Radio Sci.</t>
  </si>
  <si>
    <t>10.1029/1999RS002297</t>
  </si>
  <si>
    <t>Astronomy &amp; Astrophysics; Geochemistry &amp; Geophysics; Meteorology &amp; Atmospheric Sciences; Remote Sensing; Telecommunications</t>
  </si>
  <si>
    <t>395MM</t>
  </si>
  <si>
    <t>WOS:000166584200013</t>
  </si>
  <si>
    <t>Minami, M; Nakamura, T</t>
  </si>
  <si>
    <t>An extraction system to measure carbon-14 terrestrial ages of meteorites with a tandetron AMS at Nagoya University</t>
  </si>
  <si>
    <t>RADIOCARBON</t>
  </si>
  <si>
    <t>17th International Radiocarbon Conference</t>
  </si>
  <si>
    <t>JUN 18-23, 2000</t>
  </si>
  <si>
    <t>JERUSALEM, ISRAEL</t>
  </si>
  <si>
    <t>ANTARCTIC METEORITES; COSMOGENIC NUCLIDES; EXPOSURE HISTORY; IRON ARTIFACTS; CL-36; MN-53</t>
  </si>
  <si>
    <t>We have constructed a system to extract carbon from meteorites using a vacuum-tight RF melting method in order to study radiocarbon activities in meteorites, The extraction system was examined using iron standards of known carbon content. The carbon extraction efficiencies and C-14 ages of the iron standards by this method were compared with the results obtained previously by our older melting system and a wet oxidation method. Higher collection efficiencies of about 90% for the iron samples of relatively high carbon content were achieved by the new system. The efficiency of extracting a small amount of carbon is also near 90% after improving the extraction procedure. The C-14 ages of the iron standards were compared to the ages by the wet method. The results indicate that contamination by modern carbon is negligible in the system. Furthermore, terrestrial C-14 ages of two Antarctic meteorites, Y-75102 and ALH-77294, from the Yamato and Allan Hills ice fields, respectively, were determined. The age of Y-75102 is estimated 4.0 +/- 1.0 ka, and the age of ALH-77294 is 19.5 +/- 1.2 ka. The C-14 ages on the meteorites roughly agree with the literature value. However, further study is needed in improvement on reducing a background value and of complete fusion of a meteorite in the extraction system.</t>
  </si>
  <si>
    <t>Nagoya Univ, Grad Sch Environm Studies, Div Earth &amp; Environm Sci, Nagoya, Aichi 4648602, Japan; Nagoya Univ, Ctr Chronol Res, Nagoya, Aichi 4648602, Japan</t>
  </si>
  <si>
    <t>Nagoya University; Nagoya University</t>
  </si>
  <si>
    <t>Minami, M (corresponding author), Nagoya Univ, Grad Sch Environm Studies, Div Earth &amp; Environm Sci, Nagoya, Aichi 4648602, Japan.</t>
  </si>
  <si>
    <t>UNIV ARIZONA DEPT GEOSCIENCES</t>
  </si>
  <si>
    <t>TUCSON</t>
  </si>
  <si>
    <t>RADIOCARBON 4717 E FORT LOWELL RD, TUCSON, AZ 85712 USA</t>
  </si>
  <si>
    <t>0033-8222</t>
  </si>
  <si>
    <t>Radiocarbon</t>
  </si>
  <si>
    <t>2A</t>
  </si>
  <si>
    <t>531YC</t>
  </si>
  <si>
    <t>WOS:000174444000020</t>
  </si>
  <si>
    <t>van der Borg, K; van der Kemp, WJM; Alderliesten, C; de Jong, AFM; Lamers, RAN</t>
  </si>
  <si>
    <t>In-situ radiocarbon production by neutrons and muons in an antarctic blue ice field at Scharffenbergbotnen: A status report</t>
  </si>
  <si>
    <t>ABLATION RATES; POLAR ICE; C-14; BE-10; RECORD; CORE</t>
  </si>
  <si>
    <t>In the radiocarbon accelerator mass spectrometry (C-14 AMS) analysis of gases obtained in a dry extraction from a 52-m Antarctic ice core, we observed (CO2)-C-14 and (CO)-C-14 concentrations decreasing with depth. The concentrations are explained in terms of in-situ production by neutrons and captured muons in ablating ice. The ratio of the (CO2)-C-14 concentration to that of (CO)-C-14 has been found to be constant at 1.9 +/- 0.3. The ablation rates obtained of 42 +/- 18 cm.yr(-1) and 40 +/- 13 cm.yr(-1) for the neutron and muon components, respectively, are about three times higher than observed from stake readings. The discrepancy may point to an incomplete extraction of the dry extraction method. Using the constant ratio in (CO2)-C-14 and (CO)-C-14 concentrations we correct for the in-situ component in the trapped (CO2)-C-14 and deduce an age of 10,300 +/- 900 BP for the ice core.</t>
  </si>
  <si>
    <t>Univ Utrecht, Fac Phys &amp; Astron, Inst Subatom Phys, NL-3508 TA Utrecht, Netherlands; Univ Utrecht, Fac Phys &amp; Astron, Inst Marine &amp; Atmospher Res, NL-3508 TA Utrecht, Netherlands</t>
  </si>
  <si>
    <t>Utrecht University; Utrecht University</t>
  </si>
  <si>
    <t>Univ Utrecht, Fac Phys &amp; Astron, Inst Subatom Phys, POB 80000, NL-3508 TA Utrecht, Netherlands.</t>
  </si>
  <si>
    <t>k.vanderborg@phys.uu.nl</t>
  </si>
  <si>
    <t>van der Borg, Klaas/K-1990-2019; van de wal, roderik/D-1705-2011</t>
  </si>
  <si>
    <t>van der Borg, Klaas/0000-0002-5999-2804; van de wal, roderik/0000-0003-2543-3892</t>
  </si>
  <si>
    <t>1945-5755</t>
  </si>
  <si>
    <t>2B</t>
  </si>
  <si>
    <t>533DB</t>
  </si>
  <si>
    <t>WOS:000174513200026</t>
  </si>
  <si>
    <t>Donnelly, T; Waldron, S; Tait, A; Dougans, J; Bearhop, S</t>
  </si>
  <si>
    <t>Hydrogen isotope analysis of natural abundance and deuterium-enriched waters by reduction over chromium on-line to a dynamic dual inlet isotope-ratio mass spectrometer</t>
  </si>
  <si>
    <t>RAPID COMMUNICATIONS IN MASS SPECTROMETRY</t>
  </si>
  <si>
    <t>Meeting of the Stable-Isotope-Mass-Spectrometer-Users-Group (SIMSUG 2001)</t>
  </si>
  <si>
    <t>JAN 16-17, 2001</t>
  </si>
  <si>
    <t>SCOTTISH UNIV ENVORNM RES CTR, GLASGOW, SCOTLAND</t>
  </si>
  <si>
    <t>SCOTTISH UNIV ENVORNM RES CTR</t>
  </si>
  <si>
    <t>STABLE-ISOTOPE; MANGANESE; FLUIDS; GAS</t>
  </si>
  <si>
    <t>This paper describes the application of a simple chromium reduction furnace which can be interfaced with a dual inlet isotope-ratio mass spectrometer thus providing the capacity for cheap, fast, accurate and precise measurement of deltaD(V-SMOW) by dynamic mass spectrometry. Measurements are precise to the order of less than or equal to0.5%. Mean 95% confidence intervals for the Vienna Standard Mean Ocean Water (V-SMOW) to Standard Light Antarctic Precipitation (SLAP) range are in the order of 2.5 parts per thousand and the system is linear over the range -428 to 23,000 parts per thousand. Memory effects do exist, but are small for natural abundance samples and can be minimised by careful planning of the analytical load. Copyright (C) 2001 John Wiley &amp; Sons, Ltd.</t>
  </si>
  <si>
    <t>SUERC, Life Sci Community Stable Isotope Facil, Glasgow G75 0QF, Lanark, Scotland; Univ Durham, Dept Biol Sci, Durham DH1 3LE, England</t>
  </si>
  <si>
    <t>Scottish Universities Research &amp; Reactor Center; Durham University</t>
  </si>
  <si>
    <t>Waldron, S (corresponding author), SUERC, Life Sci Community Stable Isotope Facil, Glasgow G75 0QF, Lanark, Scotland.</t>
  </si>
  <si>
    <t>Bearhop, Stuart/G-3105-2012</t>
  </si>
  <si>
    <t>Bearhop, Stuart/0000-0002-5864-0129; WALDRON, SUSAN/0000-0002-2683-0761</t>
  </si>
  <si>
    <t>JOHN WILEY &amp; SONS LTD</t>
  </si>
  <si>
    <t>W SUSSEX</t>
  </si>
  <si>
    <t>BAFFINS LANE CHICHESTER, W SUSSEX PO19 1UD, ENGLAND</t>
  </si>
  <si>
    <t>0951-4198</t>
  </si>
  <si>
    <t>RAPID COMMUN MASS SP</t>
  </si>
  <si>
    <t>Rapid Commun. Mass Spectrom.</t>
  </si>
  <si>
    <t>10.1002/rcm.361</t>
  </si>
  <si>
    <t>Biochemical Research Methods; Chemistry, Analytical; Spectroscopy</t>
  </si>
  <si>
    <t>Biochemistry &amp; Molecular Biology; Chemistry; Spectroscopy</t>
  </si>
  <si>
    <t>458WW</t>
  </si>
  <si>
    <t>WOS:000170219300010</t>
  </si>
  <si>
    <t>Broggi, A; Vallone, U</t>
  </si>
  <si>
    <t>Kehtarnavaz, N</t>
  </si>
  <si>
    <t>Real-time image processing for the autonomous driving of a snowcat in Antarctica</t>
  </si>
  <si>
    <t>REAL-TIME IMAGING V</t>
  </si>
  <si>
    <t>Conference on Real-Time Imaging V</t>
  </si>
  <si>
    <t>JAN 24-25, 2001</t>
  </si>
  <si>
    <t>SAN JOSE, CA</t>
  </si>
  <si>
    <t>autonomous vehicle; computer vision; traces detection; extreme conditions</t>
  </si>
  <si>
    <t>INTELLIGENT VEHICLES; VISION</t>
  </si>
  <si>
    <t>This paper presents the real-time vision system developed by Pavia University within the ENEA R.A.S. (Surface Antarctic Robot) project for the automatic driving of an intelligent snowcat able to follow the traces produced by other snowcats. A camera is used to acquire images of the scene in real-time; the image sequence is analyzed by a computer vision system which identifies the traces and produces a high level description of the scene. A further optional representation, in which black markers are superimposed onto the original acquired image, is transmitted to a human supervisor., located off-board. The low level part of image processing searches for patches of snow produced by the motion of preceding snowcats. They are characterized by a high variance and are generally darker than the rest of the scene. The algorithm uses a modified variance and morphological operators for low level analysis. The result of the first part of the processing is composed of a set of disjoint clusters representing possible traces that are then labelled and selected by the following high level processing. Even if the images used in this first phase come from a non-stabilized camera, the percentage of correct detection is about 95%.</t>
  </si>
  <si>
    <t>Univ Pavia, Dipartimento Informat &amp; Sistemist, I-27100 Pavia, Italy</t>
  </si>
  <si>
    <t>University of Pavia</t>
  </si>
  <si>
    <t>Broggi, A (corresponding author), Univ Pavia, Dipartimento Informat &amp; Sistemist, I-27100 Pavia, Italy.</t>
  </si>
  <si>
    <t>Broggi, Alberto/0000-0002-0893-1331</t>
  </si>
  <si>
    <t>0-8194-3981-9</t>
  </si>
  <si>
    <t>10.1117/12.424947</t>
  </si>
  <si>
    <t>Optics; Imaging Science &amp; Photographic Technology</t>
  </si>
  <si>
    <t>BS89N</t>
  </si>
  <si>
    <t>WOS:000171334400016</t>
  </si>
  <si>
    <t>Jin, ZH; Simpson, JJ</t>
  </si>
  <si>
    <t>Anisotropic reflectance of snow observed from space over the arctic and its effect on solar energy balance</t>
  </si>
  <si>
    <t>REMOTE SENSING OF ENVIRONMENT</t>
  </si>
  <si>
    <t>SEA-ICE; ANTARCTIC SNOW; CALIBRATION; SURFACE</t>
  </si>
  <si>
    <t>Advanced Very High Resolution Radiometer (AVHRR) images of arctic snow reflectance, observed from different satellite passes with the closest pass times on the same day, show different patterns that are related to the sun-satellite geometry. The variation of snow reflectance with view angle can be large or small, depending on the view geometry. Thus, the snow reflectances of a common target, observed from different viewing angles, can be very different and hard to compare. Unfortunately, none represent the actual physical snow albedo, and the error in the converted broadband top of atmosphere (TOA) albedo could easily be larger than 10%, which implies a great effect on the solar radiation balance at TOA. For an accurate estimate of the solar energy budget from satellite observations, and anisotropic correction is required not only for those reflectance images with obvious angular variation, but also for seemingly isotropic scenes because this latter case might incorrectly estimate the albedo under general conditions. Two methods, on based on a radiative transfer model and the other on National Oceanic and Atmospheric Administration's (NOAA) Earth Radiation Budget (ERB) experimental data, have been applied to AVHRR data to implement and anisotropic correction. The results show that both methods can remove the systematic variation of snow reflectance with view angle and can significantly reduce the large observed differences in reflectances from different satellite observations of a common snow target. The radiative transfer model-based method, however, unlike the NOAA experimental method, corrects the reflectances in the two AVHRR channels separately, has higher angular resolution than the NOAA experimental method, and can account for variations in snow condition (e.g., grain size). Moreover, the model-based anisotropic correction shows superior self-consistency compared to that produced by NOAA's experimental-based method. Finally, the model-based method provides a sound theoretical basis for anisotropic correction of satellite images of arctic snow reflectance. (C) Elsevier Science Inc., 2001.</t>
  </si>
  <si>
    <t>Univ Calif San Diego, Scripps Inst Oceanog, Digital Image Anal Lab, La Jolla, CA 92093 USA</t>
  </si>
  <si>
    <t>Simpson, JJ (corresponding author), Univ Calif San Diego, Scripps Inst Oceanog, Digital Image Anal Lab, La Jolla, CA 92093 USA.</t>
  </si>
  <si>
    <t>ELSEVIER SCIENCE INC</t>
  </si>
  <si>
    <t>655 AVENUE OF THE AMERICAS, NEW YORK, NY 10010 USA</t>
  </si>
  <si>
    <t>0034-4257</t>
  </si>
  <si>
    <t>REMOTE SENS ENVIRON</t>
  </si>
  <si>
    <t>Remote Sens. Environ.</t>
  </si>
  <si>
    <t>10.1016/S0034-4257(00)00156-5</t>
  </si>
  <si>
    <t>Environmental Sciences; Remote Sensing; Imaging Science &amp; Photographic Technology</t>
  </si>
  <si>
    <t>Environmental Sciences &amp; Ecology; Remote Sensing; Imaging Science &amp; Photographic Technology</t>
  </si>
  <si>
    <t>387VF</t>
  </si>
  <si>
    <t>WOS:000166142000006</t>
  </si>
  <si>
    <t>Kock, KH</t>
  </si>
  <si>
    <t>The direct influence of fishing and fishery-related activities on non-target species in the Southern Ocean with particular emphasis on longline fishing and its impact on albatrosses and petrels - a review</t>
  </si>
  <si>
    <t>REVIEWS IN FISH BIOLOGY AND FISHERIES</t>
  </si>
  <si>
    <t>CCAMLR; IUU fishing; longline fisheries; plastic packaging bands; Southern Ocean</t>
  </si>
  <si>
    <t>ANTARCTIC FUR SEALS; MAN-MADE DEBRIS; OIL-SPILL; SEABIRD MORTALITY; DIOMEDEA-EXULANS; MACQUARIE-ISLAND; PROCELLARIA-AEQUINOCTIALIS; POPULATION-DYNAMICS; MITIGATION MEASURES; BAHIA-PARAISO</t>
  </si>
  <si>
    <t>Finfishing in the Southern Ocean began more than 30 years ago at South Georgia and the Kerguelen Islands. Although the fishery extended further south for a few years in the second half of the 1970s, these two islands remained the most important fishing grounds until 1996/97. Longlining for Dissostichus eleginoides began in 1985/86 and remained restricted to South Georgia and the Kerguelen Islands for more than 10 years. Catches rarely exceeded 12,000 tonnes in one season. The fishery, however, is important because the fish are valuable and highly priced. The Commission for the Conservation of Antarctic Marine Living Resources (CCAMLR) is regulating fishing in the Southern Ocean. CCAMLR first received information on this fishery and its possible high by-catch of albatrosses and larger petrels was first estimated in 1991. From 1996/97 onwards, illegal, unreported and unregulated (IUU) fishing expanded dramatically within a single season. Limited control could be exerted in those areas which were under national jurisdiction. A number of detrimental effects from fishing activities could be seen on birds and mammals. Estimated catches in the illegal fishery amounted to several tens of thousands of birds per season with little appparent reduction over the first four seasons. The sudden development of the illegal fishery placed a great strain on CCAMLR's fishery management. Vessels fishing legally gradually improved their compliance with CCAMLR conservation measures over the last couple of years. This may be insignificant compared to the potential in the IUU fisheries but testifies to our ability to make significant improvement using simple mitigation methods. After setting precautionary catch limits in 1997, CCAMLR was able to adopt a `Catch Documentation Scheme' (CDS) in November 1999 which came into force on 7 May 2000. Mauritius, the main port where IUU fish were landed in 2000, was willing to accede to CCAMLR and adopt the CDS. An International Plan of Action for Reducing Incidental Catch of Seabirds in Longline Fisheries was adopted by the FAO in June 1999 and various activities of governmental and non-governmental groups also seemed likely to address the problem more effectively with the assistance of the fishing industry.</t>
  </si>
  <si>
    <t>Bundesforsch Anstalt Fischerei, Inst Seefischerei, D-22767 Hamburg, Germany</t>
  </si>
  <si>
    <t>Kock, KH (corresponding author), Bundesforsch Anstalt Fischerei, Inst Seefischerei, Palmaille 9, D-22767 Hamburg, Germany.</t>
  </si>
  <si>
    <t>0960-3166</t>
  </si>
  <si>
    <t>REV FISH BIOL FISHER</t>
  </si>
  <si>
    <t>Rev. Fish. Biol. Fish.</t>
  </si>
  <si>
    <t>10.1023/A:1014207719529</t>
  </si>
  <si>
    <t>Fisheries; Marine &amp; Freshwater Biology</t>
  </si>
  <si>
    <t>524BP</t>
  </si>
  <si>
    <t>WOS:000173992300002</t>
  </si>
  <si>
    <t>Bargagli, R</t>
  </si>
  <si>
    <t>Ware, GW</t>
  </si>
  <si>
    <t>Trace metals in Antarctic organisms and the development of circumpolar biomonitoring networks</t>
  </si>
  <si>
    <t>REVIEWS OF ENVIRONMENTAL CONTAMINATION AND TOXICOLOGY, VOL 171</t>
  </si>
  <si>
    <t>Reviews of Environmental Contamination and Toxicology</t>
  </si>
  <si>
    <t>TERRA-NOVA BAY; NORTHERN VICTORIA LAND; SCALLOP ADAMUSSIUM-COLBECKI; HEAVY-METALS; CHLORINATED HYDROCARBONS; MERCURY CONCENTRATIONS; ARTHUR HARBOR; PACK-ICE; ROSS SEA; TERRESTRIAL ECOSYSTEMS</t>
  </si>
  <si>
    <t>Univ Siena, Dipartimento Sci Ambientali, I-53100 Siena, Italy</t>
  </si>
  <si>
    <t>Univ Siena, Dipartimento Sci Ambientali, Via PA Mattioli 4, I-53100 Siena, Italy.</t>
  </si>
  <si>
    <t>233 SPRING STREET, NEW YORK, NY 10013, UNITED STATES</t>
  </si>
  <si>
    <t>0179-5953</t>
  </si>
  <si>
    <t>2197-6554</t>
  </si>
  <si>
    <t>0-387-95302-7</t>
  </si>
  <si>
    <t>REV ENVIRON CONTAM T</t>
  </si>
  <si>
    <t>Rev. Environ. Contam. Toxicol.</t>
  </si>
  <si>
    <t>Environmental Sciences; Toxicology</t>
  </si>
  <si>
    <t>Environmental Sciences &amp; Ecology; Toxicology</t>
  </si>
  <si>
    <t>BT01K</t>
  </si>
  <si>
    <t>WOS:000171629700002</t>
  </si>
  <si>
    <t>Lykossov, VN</t>
  </si>
  <si>
    <t>Numerical modelling of interaction between the atmospheric boundary layer and the Antarctic ice shelf</t>
  </si>
  <si>
    <t>RUSSIAN JOURNAL OF NUMERICAL ANALYSIS AND MATHEMATICAL MODELLING</t>
  </si>
  <si>
    <t>SNOW; SEA</t>
  </si>
  <si>
    <t>Using the data of observations of the ice cover in the Weddell Sea near the Antarctic coast in a period of the polar night, we carried out numerical experiments with the one-dimensional model of the atmospheric boundary layer. The processes of background advective heat and moisture transport, the catabatic component of motions and vertical turbulent snow transport under the conditions of blowing snow are parameterized in the model. It is shown that the results on the computation of temperature and specific humidity are in good agreement with the corresponding observational data when we take into account the joint effect of baroclinity and relief. It is also established that the consideration of the snow turbulent diffusion process leads to the higher quality of reproducing the wind velocity and friction stress in the atmospheric surface layer.</t>
  </si>
  <si>
    <t>Inst Numer Math, Moscow 119991, Russia</t>
  </si>
  <si>
    <t>Lykossov, VN (corresponding author), Inst Numer Math, GSP-1, Moscow 119991, Russia.</t>
  </si>
  <si>
    <t>Lykosov, Vasily N./A-4816-2014</t>
  </si>
  <si>
    <t>WALTER DE GRUYTER &amp; CO</t>
  </si>
  <si>
    <t>GENTHINER STRASSE 13, D-10785 BERLIN, GERMANY</t>
  </si>
  <si>
    <t>0927-6467</t>
  </si>
  <si>
    <t>RUSS J NUMER ANAL M</t>
  </si>
  <si>
    <t>Russ. J. Numer. Anal. Math. Model</t>
  </si>
  <si>
    <t>Mathematics, Applied</t>
  </si>
  <si>
    <t>Mathematics</t>
  </si>
  <si>
    <t>468KV</t>
  </si>
  <si>
    <t>WOS:000170757600005</t>
  </si>
  <si>
    <t>Maher, PT; Steel, G; McIntosh, A</t>
  </si>
  <si>
    <t>Watson, A; Sproull, J</t>
  </si>
  <si>
    <t>Antarctica: Tourism, wilderness, and ambassadorship</t>
  </si>
  <si>
    <t>SCIENCE AND STEWARDSHIP TO PROTECT AND SUSTAIN WILDERNESS VALUES</t>
  </si>
  <si>
    <t>USDA FOREST SERVICE ROCKY MOUNTAIN RESEARCH STATION PROCEEDINGS</t>
  </si>
  <si>
    <t>7th World Wilderness Congress Symposium</t>
  </si>
  <si>
    <t>NOV 02-08, 2001</t>
  </si>
  <si>
    <t>Port Elizabeth, SOUTH AFRICA</t>
  </si>
  <si>
    <t>DUNLAP-HEFFERNAN THESIS; OUTDOOR RECREATION; ENVIRONMENTAL CONCERN</t>
  </si>
  <si>
    <t>Antarctica, as a continent, is one of the most beautiful, remote places on the planet. For many people Antarctica is a place of mystery, a place of historic exploration, discovery, and suffering. Antarctica is where huge icebergs sweep by populous penguin rookeries, and where majestic albatross sweep along on wind curling off the polar plateau. These preconceptions are perhaps why Antarctic tourism has grown substantially over the past two decades, now numbering nearly 15,000 visitors each year. Antarctic wilderness is vast, its flora and fauna not diverse, but plentiful and unique. The questions are now whether (1) tourism and wilderness are compatible, (2) tourism can support and conserve the Antarctic wilderness, and (3) Antarctic wilderness can support current or increased tourism. This paper is an attempt to reveal and combine some of the known information, but also acts as a call for further empirical research, including that proposed by the authors.</t>
  </si>
  <si>
    <t>Lincoln Univ, Tourism &amp; Recreat Grp, Environm Soc &amp; Design Div, Canterbury, New Zealand</t>
  </si>
  <si>
    <t>Steel, Gary D/P-6729-2018; Maher, Patrick/AAU-4377-2020; McIntosh, Alison/I-8662-2012; McIntosh, Alison/AAQ-9910-2021</t>
  </si>
  <si>
    <t>McIntosh, Alison/0000-0003-1593-700X;</t>
  </si>
  <si>
    <t>US DEPT AGR, FOREST SERV ROCKY MT FOREST &amp; RANGE EXPTL STN</t>
  </si>
  <si>
    <t>FT COLLINS</t>
  </si>
  <si>
    <t>FT COLLINS, CO 80526 USA</t>
  </si>
  <si>
    <t>US FOR SERV RMRS-P</t>
  </si>
  <si>
    <t>Biodiversity Conservation; Ecology; Environmental Studies</t>
  </si>
  <si>
    <t>BAD45</t>
  </si>
  <si>
    <t>WOS:000221665300033</t>
  </si>
  <si>
    <t>Robertson, G</t>
  </si>
  <si>
    <t>Melvin, EF; Parrish, JK</t>
  </si>
  <si>
    <t>Effect of line sink rate on albatross mortality in the Patagonian toothfish longline fishery</t>
  </si>
  <si>
    <t>SEABIRD BYCATCH: TRENDS,ROADBLOCKS AND SOLUTIONS</t>
  </si>
  <si>
    <t>UNIVERSITY OF ALASKA SEA GRANT COLLEGE PROGRAM REPORT</t>
  </si>
  <si>
    <t>26th Annual Meeting of the Pacific-Seabird-Group</t>
  </si>
  <si>
    <t>FEB 26-27, 1999</t>
  </si>
  <si>
    <t>BLAINE, WA</t>
  </si>
  <si>
    <t>An experiment was conducted on an autoline longline vessel to derive a sink rate, and line weighting regime, that would minimize the capture of albatrosses based on knowledge of line sink rates and albatross diving abilities. Sink rates of lines deployed into propeller turbulence, which probably slowed sink rate, varied as a function of distance between line weights. Asymptotic sink rates (0.1-0.15 m/s) were achieved with 70 m between 6.5 kg weights. Sink rates to 4 m depth were greatest with 35 m (0.44 m/s) and 50 m (0.33 m/s) between weights. For vessels using bird scaring lines and setting lines in propeller turbulence, longline sink rates &gt;0.3 m/s should greatly reduce the incidental take of albatrosses. For vessels with similar gear and line setting characteristics to the experimental vessel, this sink rate should be achievable with 4 kg weights distributed every 40 m on longlines.</t>
  </si>
  <si>
    <t>Australian Antarctic Div, Kingston, Tas, Australia</t>
  </si>
  <si>
    <t>Robertson, G (corresponding author), Australian Antarctic Div, Channel Highway, Kingston, Tas, Australia.</t>
  </si>
  <si>
    <t>UNIV ALASKA SEA GRANT</t>
  </si>
  <si>
    <t>FAIRBANKS</t>
  </si>
  <si>
    <t>POB 755040, 205 ONEILL BLDG, FAIRBANKS, AK 99775 USA</t>
  </si>
  <si>
    <t>1-56612-066-7</t>
  </si>
  <si>
    <t>UASGCP REP</t>
  </si>
  <si>
    <t>BS49J</t>
  </si>
  <si>
    <t>WOS:000170086700005</t>
  </si>
  <si>
    <t>Smith, AJ; Nagano, I</t>
  </si>
  <si>
    <t>Warmbein, B</t>
  </si>
  <si>
    <t>Multi-point ground observations and modelling of substorm chorus events</t>
  </si>
  <si>
    <t>SHEFFIELD SPACE PLASMA MEETING: MULTIPOINT MEASUREMENT VERSUS THEORY, PROCEEDINGS: LES WOOLLISCROFT MEMORIAL CONFERENCE</t>
  </si>
  <si>
    <t>Les Wolliscroft Memorial Conference/Sheffield Space Plasma Meeting on Multipoint Measurements Versus Theory</t>
  </si>
  <si>
    <t>APR 24-26, 2001</t>
  </si>
  <si>
    <t>SHEFFIELD, ENGLAND</t>
  </si>
  <si>
    <t>substorm; chorus; full-wave</t>
  </si>
  <si>
    <t>Electrons injected into the nightside magnetosphere during the expansion phase of a substorm generate whistler-mode waves near the equator which propagate downwards along field-aligned paths and through the ionosphere to be observed on the ground as substorm chorus events (SCEs). We present observations of such events, recorded in Antarctica at Halley station (L similar to 4) and the British Antarctic Survey's AGOs (Automatic Geophysical Observatories), located polewards of Halley. The receiver at each station measures wave power, polarisation and arrival azimuth of the SCE in cacti of a number of frequency bands. We can use these observations as a function of time from the substorm expansion phase onset, combined with a full-wave code to model the propagation of the waves through and under the ionosphere, to estimate the apparent position and motion of the regions where the SCE waves enter the Earth-ionosphere waveguide. This can then be related to the evolution of the wave generation region as the substorm progresses.</t>
  </si>
  <si>
    <t>92-9092-802-6</t>
  </si>
  <si>
    <t>BT55S</t>
  </si>
  <si>
    <t>WOS:000173316000017</t>
  </si>
  <si>
    <t>Abyzov, SS; Mitskevich, IN; Poglazova, MN; Barkov, NI; Lipenkov, VY; Bobin, NE; Koudryashov, BB; Pashkevich, VM; Ivanov, MV</t>
  </si>
  <si>
    <t>Mogami, Y; Bruce, L; Nechitailo, G; Kondyurin, A; Clark, BC; McKay, CP</t>
  </si>
  <si>
    <t>Microflora in the basal strata at Antarctic ice core above the Vostok Lake</t>
  </si>
  <si>
    <t>SPACE LIFE SCIENCES: LIVING ORGANISMS, BIOLOGICAL PROCESSES AND THE LIMITS OF LIFE</t>
  </si>
  <si>
    <t>F1 4/F4 5/and F3 2/F3 3 Symposium of COSPAR Scientific Commission F held at the 33rd COPAR Scientific Assembly</t>
  </si>
  <si>
    <t>LIFE</t>
  </si>
  <si>
    <t>The microbiological investigations of the Antarctic ice core at the Vostok station become especially important in connection with the discovery of an subglacial lake in this region. This lake is considered by the world-wide scientific community to be an important object for searching for relict forms of life on the Earth and also as a model for solving a number of problems of exobiology - for instance for development of methods to penetrate into underice sea at Europe - Jupiter's satellite. For the first time the Antarctic ice core samples were taken from the horizons which correspond to the basal zone (3534-3541 m) and to the accreation ice zone (3555-3611 m) above the subglacial lake Vostok. As a result of the microbiological investigations it was shown that the total number of microbial cells have been in the same range of quantities as at the upper, younger horizons and varied from 1.3 . 10(2) up to 9.6 . 10(2) cl/ml. Some periodicity in the cell concentration and in their morphological diversity was revealed along the core. The maximal number and the greatest morphological variety were detected at horizons with the depth of 3534, 3555 and 3595 m(.). A drop in the cell concentration two or three times as much was found in ice layers under each of the above mentioned horizons. The discovered stratification is apparently connected with the periodicity of the lake water interactions with the basal ice layer and obviously depends on the complex natural events which took place in the geological history of our planet. (C) 2001 COSPAR. Published by Elsevier Science Ltd. All rights reserved.</t>
  </si>
  <si>
    <t>Russian Acad Sci, Inst Microbiol, Moscow 117811, Russia; Arctic &amp; Antarctic Res Inst, St Petersburg 199226, Russia; St Petersburg Min Inst, St Petersburg 199026, Russia</t>
  </si>
  <si>
    <t>Research Center of Biotechnology RAS; Russian Academy of Sciences; Arctic &amp; Antarctic Research Institute; Saint Petersburg Mining University</t>
  </si>
  <si>
    <t>Russian Acad Sci, Inst Microbiol, Moscow 117811, Russia.</t>
  </si>
  <si>
    <t>abyzov@inmi.host.ru</t>
  </si>
  <si>
    <t>Kondyurin, Alexey/B-9580-2011; Lipenkov, Vladimir/Q-8262-2016</t>
  </si>
  <si>
    <t>Kondyurin, Alexey/0000-0002-8837-9734; Lipenkov, Vladimir/0000-0003-4221-5440</t>
  </si>
  <si>
    <t>10.1016/S0273-1177(01)00318-0</t>
  </si>
  <si>
    <t>BT60H</t>
  </si>
  <si>
    <t>WOS:000173493700026</t>
  </si>
  <si>
    <t>Chapman, S; Watkins, N</t>
  </si>
  <si>
    <t>Avalanching and Self-Organised Criticality, a paradigm for geomagnetic activity?</t>
  </si>
  <si>
    <t>SPACE SCIENCE REVIEWS</t>
  </si>
  <si>
    <t>MAGNETOTAIL; MODEL; AE; DISSIPATION; TURBULENCE; DYNAMICS; SPACE; FIELD</t>
  </si>
  <si>
    <t>The characterization of global energy storage and release in the coupled solar wind-magnetosphere system remains one of the fundamental problems of space physics. Recently, it has been realised that a new paradigm in physics, that of Self Organised Criticality (SOC) may encapsulate the mixing and merging of flux on many scales in the magnetotail prompting bursty energy release and reconfiguration. SOC is consistent with qualitative measures such as power-law power spectra and bursty bulk flows and with more quantitative tests such as power law burst distributions in auroral indices and auroral optical activity. Here, we present a careful classification of the broad range of systems that fall under the general description of 'SOC'. We argue that some, but not all, of these are consistent with our current understanding of the magnetosphere. We discuss the observed low dimensionality of the dynamic magnetosphere in terms of both SOC model properties, and observables. Observations of burst statistics are highlighted; we show that these are currently suggestive but not sufficient to confirm SOC and in particular we find that auroral indices are not effective at distinguishing the internal dynamics of the magnetosphere from that of the intermittent solar wind driver. This may also elucidate the paradox of predictability and complexity of the coupled solar wind-magnetosphere system.</t>
  </si>
  <si>
    <t>Univ Warwick, Coventry CV4 7AL, W Midlands, England; British Antarctic Survey, NERC, Cambridge CB3 0ET, England</t>
  </si>
  <si>
    <t>University of Warwick; UK Research &amp; Innovation (UKRI); Natural Environment Research Council (NERC); NERC British Antarctic Survey</t>
  </si>
  <si>
    <t>Univ Warwick, Coventry CV4 7AL, W Midlands, England.</t>
  </si>
  <si>
    <t>Chapman, Sandra/C-2216-2008; Watkins, Nicholas Wynn/C-5140-2008; Watkins, Nick/GPX-7439-2022</t>
  </si>
  <si>
    <t>Chapman, Sandra/0000-0003-0053-1584; Watkins, Nicholas Wynn/0000-0003-4484-6588; Watkins, Nick/0000-0003-4484-6588</t>
  </si>
  <si>
    <t>0038-6308</t>
  </si>
  <si>
    <t>1572-9672</t>
  </si>
  <si>
    <t>SPACE SCI REV</t>
  </si>
  <si>
    <t>Space Sci. Rev.</t>
  </si>
  <si>
    <t>10.1023/A:1005236717469</t>
  </si>
  <si>
    <t>391PU</t>
  </si>
  <si>
    <t>WOS:000166365000022</t>
  </si>
  <si>
    <t>Jarvis, MJ</t>
  </si>
  <si>
    <t>Antarctica's role in understanding long-term change in the upper atmosphere</t>
  </si>
  <si>
    <t>SURVEYS IN GEOPHYSICS</t>
  </si>
  <si>
    <t>Antarctica; global change; mesosphere; thermosphere; ionosphere; plasmasphere</t>
  </si>
  <si>
    <t>COSMIC-RAY FLUX; SOLAR-CLIMATE RELATIONSHIPS; GLOBAL CLOUD COVERAGE; THERMAL STRUCTURE; POLAR ICE; NOCTILUCENT CLOUDS; TEMPERATURE TRENDS; SUMMER MESOSPHERE; MIDDLE ATMOSPHERE; MAGNETIC STORM</t>
  </si>
  <si>
    <t>Within the global context, Antarctica has a key role to play in understanding long-term change in the upper atmosphere, both because of its isolation from the rest of the world and because of its unique geophysical attributes. Antarctic upper atmosphere data can provide global change observations regarding the mesosphere, thermosphere, ionosphere, plasmasphere and magnetosphere. It will not only provide trend estimates but, just as importantly, it will define the background variability which exists in the upper atmosphere and against which these trends must be resolved. Upper atmospheric change can be driven both from within the Earth's near environment primarily through changing atmospheric composition, dynamics or geomagnetic field, or it can be driven externally, predominantly by the Sun. Recent observations are discussed in the light of increasing interest in global change issues and sun-weather relationships.</t>
  </si>
  <si>
    <t>Jarvis, MJ (corresponding author), British Antarctic Survey, Madingley Rd, Cambridge CB3 0ET, England.</t>
  </si>
  <si>
    <t>m.jarvis@bas.ac.uk</t>
  </si>
  <si>
    <t>0169-3298</t>
  </si>
  <si>
    <t>SURV GEOPHYS</t>
  </si>
  <si>
    <t>Surv. Geophys.</t>
  </si>
  <si>
    <t>10.1023/A:1012940304074</t>
  </si>
  <si>
    <t>496FC</t>
  </si>
  <si>
    <t>WOS:000172384700003</t>
  </si>
  <si>
    <t>Read, PL</t>
  </si>
  <si>
    <t>Transition to geostrophic turbulence in the laboratory, and as a paradigm in atmospheres and oceans</t>
  </si>
  <si>
    <t>baroclinic; barotropic; energy cascades; inertial ranges; instability; geophysical fluid dynamics; geostrophic turbulence; predictability</t>
  </si>
  <si>
    <t>TWO-DIMENSIONAL TURBULENCE; ANTARCTIC CIRCUMPOLAR CURRENT; LARGE-REYNOLDS-NUMBER; ZONAL JETS; BAROCLINIC WAVES; BETA-PLANE; RELATIVE DISPERSION; COHERENT STRUCTURES; THERMALLY DRIVEN; ROTATING ANNULUS</t>
  </si>
  <si>
    <t>Geostrophic turbulence has become a classical paradigm for understanding a wide variety of natural systems, including the large- and meso-scale circulation in the atmosphere and oceans of the Earth. In this paper, we review the fundamental basis of the theory of 2D and geostrophic turbulence, with reference to experimental investigations of fluid motion in the laboratory, numerical models and observational studies of the atmosphere and oceans. Attention is concentrated on the initial transitions from laminar to `turbulent' flow via various routes to low-dimensional chaos (also known sometimes as `weak turbulence'), as well as on statistical descriptions of the mean state of the fully developed turbulent flow. In the latter case, we also discuss the classical approach to deriving energy spectra and the potential implications of such a state for the predictability of rapidly rotating fluid systems such as the atmosphere and oceans. Finally, we also offer an outlook for the future, highlighting some potential developments of techniques which offer the possibility of combining statistical and dynamical information to predict the behaviour of quasi-stable, coherent structures in an otherwise turbulent system.</t>
  </si>
  <si>
    <t>Univ Oxford, Oxford OX1 2JD, England</t>
  </si>
  <si>
    <t>University of Oxford</t>
  </si>
  <si>
    <t>Read, PL (corresponding author), Univ Oxford, Oxford OX1 2JD, England.</t>
  </si>
  <si>
    <t>10.1023/A:1013790802740</t>
  </si>
  <si>
    <t>510JL</t>
  </si>
  <si>
    <t>WOS:000173204900003</t>
  </si>
  <si>
    <t>Pintado, A; Sancho, LG; Valladares, F</t>
  </si>
  <si>
    <t>The influence of microclimate on the composition of lichen communities along an altitudinal gradient in the maritime Antarctic</t>
  </si>
  <si>
    <t>SYMBIOSIS</t>
  </si>
  <si>
    <t>4th International-Association-of-Lichenology Symposium</t>
  </si>
  <si>
    <t>SEP 03-08, 2000</t>
  </si>
  <si>
    <t>BARCELONA, SPAIN</t>
  </si>
  <si>
    <t>biodiversity; altitudinal range; lichen ecology; Antarctica; distribution limit</t>
  </si>
  <si>
    <t>WATER</t>
  </si>
  <si>
    <t>The influence of microclimate on diversity and abundance of lichen communities was studied along an altitudinal gradient on Livingston Island, South Shetland Islands, maritime Antarctic. Whilst biodiversity overall is high, it appears to decrease drastically within a few hundred meters from the coast towards higher altitudes. Microclimatic data and community composition were investigated at different sites and slope exposures from near sea level to the summit of Mount Reins Sofia. (274 m a.s.l.) near the Spanish Antarctic research station Juan Carlos I. Microclimatic measurements were made over a period of 43 days during a summer. A remarkable decrease in lichen diversity and biomass was found with increasing altitude which correlated with a decrease in 2.37 degreesC mean thallus temperature over an altitudinal range of 266 m. Neither air humidity nor irradiance seems to influence lichen biodiversity over this altitudinal range. The results indicated slight changes in air temperature as limiting the distribution of lichens, the major photosynthetic organism in this area.</t>
  </si>
  <si>
    <t>Univ Complutense, Fac Farm, Dept Biol Vegetal 2, E-28040 Madrid, Spain; CSIC, Ctr Ciencias Medioambientales, E-28006 Madrid, Spain</t>
  </si>
  <si>
    <t>Complutense University of Madrid; Consejo Superior de Investigaciones Cientificas (CSIC); CSIC - Centro de Ciencias Medioambientales (CCMA)</t>
  </si>
  <si>
    <t>Pintado, A (corresponding author), Univ Complutense, Fac Farm, Dept Biol Vegetal 2, E-28040 Madrid, Spain.</t>
  </si>
  <si>
    <t>Pintado, Ana/G-9881-2015; Sancho, leopoldo G./H-2974-2013; Valladares, Fernando/K-9406-2014; SANCHO, LEOPOLDO/G-9120-2015</t>
  </si>
  <si>
    <t>Valladares, Fernando/0000-0002-5374-4682; SANCHO, LEOPOLDO/0000-0002-4751-7475</t>
  </si>
  <si>
    <t>INT SCIENCE SERVICES/BALABAN PUBLISHERS</t>
  </si>
  <si>
    <t>REHOVOT</t>
  </si>
  <si>
    <t>PO BOX 2039, REHOVOT 76120, ISRAEL</t>
  </si>
  <si>
    <t>0334-5114</t>
  </si>
  <si>
    <t>Symbiosis</t>
  </si>
  <si>
    <t>452KY</t>
  </si>
  <si>
    <t>WOS:000169857900006</t>
  </si>
  <si>
    <t>Lud, D; Huiskes, AHL; Ott, S</t>
  </si>
  <si>
    <t>Morphological evidence for the symbiotic character of Turgidosculum complicatulum Kohlm. &amp; Kohlm. (= Mastodia tesselata Hook.f. &amp; Harvey)</t>
  </si>
  <si>
    <t>development; initial stage; lichenization; Mastodia tesselata; mutualism; parasitism; Prasiola crispa; symbiosis; Turgidosculum complicatulum</t>
  </si>
  <si>
    <t>ANTARCTICA; SURVIVAL; FUNGUS</t>
  </si>
  <si>
    <t>The symbiotic nature of the association between mycobiont and photobiont in the Antarctic lichen Turgidosculum complicatulum has been questioned. Some authors consider the lichen T. complicatulum to be an alga parasitized by the fungus. The photobiont Prasiola crispa ssp. antarctica (Kutzing) Knebel also occurs free-living in adjacent microhabitats. The initial developmental stages of this Antarctic lichen or lichen-like association are described here for the first time. The aim of this study was to examine the early developmental stages of T. complicatulum in order to characterize the nature of the association between photobiont and mycobiont. SEM and light microscopy revealed a decisive role of unicellular aplanospores and other few-celled stages of the alga in the process of lichenization. There is a slight morphogenetic influence of the mycobiont on the photobiont, but no cortex differentiated. The outer layer of the thallus does not contain phenolic substances other than melanin. On the basis of morphological investigations and some physiological and chemical properties T. complicatulum fan be described as a lichen with simple organisational level, although certain features challenge usual concepts of lichen symbiosis.</t>
  </si>
  <si>
    <t>Univ Dusseldorf, Inst Bot, D-40225 Dusseldorf, Germany; Netherlands Inst Ecol, Ctr Estuarine &amp; Coastal Ecol, NL-4400 AC Yerseke, Netherlands</t>
  </si>
  <si>
    <t>Heinrich Heine University Dusseldorf; Royal Netherlands Academy of Arts &amp; Sciences; Netherlands Institute of Ecology (NIOO-KNAW)</t>
  </si>
  <si>
    <t>Ott, S (corresponding author), Univ Dusseldorf, Inst Bot, Univ Str 1, D-40225 Dusseldorf, Germany.</t>
  </si>
  <si>
    <t>Huiskes, Ad/C-3252-2011</t>
  </si>
  <si>
    <t>WOS:000169857900011</t>
  </si>
  <si>
    <t>Dethloff, K; Abegg, C; Rinke, A; Hebestadt, I; Romanov, VF</t>
  </si>
  <si>
    <t>Sensitivity of Arctic climate simulations to different boundary-layer parameterizations in a regional climate model</t>
  </si>
  <si>
    <t>TELLUS SERIES A-DYNAMIC METEOROLOGY AND OCEANOGRAPHY</t>
  </si>
  <si>
    <t>WEATHER PREDICTION MODELS; SINGLE-COLUMN MODELS; GENERAL-CIRCULATION; RADIATIVE-TRANSFER; CLOUD; SCHEME; WINTER; ICE; PARAMETRIZATION; ATMOSPHERE</t>
  </si>
  <si>
    <t>Arctic climate simulations with the high resolution regional climate model HIRHAM show some deviations from station data in the planetary boundary layer ( PBL) during a winter, which indicates the necessity of improvements in the atmospheric PBL parameterization for a better description of the vertical stratification and atmosphere surface energy exchange. A 1-dimensional single column model scheme has been ur;ed to investigate the influence of two different PBL parameterizations in monthly integrations for January 1991 and July 1990. The first scheme uses the boundary layer parameterization of the atmospheric circulation model ECHAM3, including the Monin-Obukhov similarity theory in the surface layer and a mixing length approach above. The second scheme applies the Rossby-number similarity theory fbr the whole PBL, connecting external parameters with turbulent fluxes and with universal Functions determined on the basis of Arctic data. For both schemes the heat and humidity advection has been determined as residual term of the PBL balance equations. Diabatic sources have been computed from the current model solution and local temperature and humidity changes are estimated from radiosonde data. The simulated vertical structure and the atmosphere surface energy exchange during January strongly depends on the used PDL parameterization scheme. These different PBL parameterization schemes were then applied for simulations of the Arctic climate in the 3-dimensional regional atmospheric climate model HIRHAM, using ECHAM3 with Monin-Obukhov similarity theory, ECHAM3 with Rossby-number similarity theory and ECHAM4 parameterizations with a turbulent kinetic energy closure. The near surface temperature, the large-scale fields of geopotential and horizontal wind are simulated satisfactorily by all three schemes, but strong regional differences occur. The results show a sensitivity to the type of turbulence exchange scheme used. The comparison with ECMWF analyses and with radiosonde data reveals: that during January ECHAM3 with Rossby number similarity theory more successfully simulates the cold and stable PBL over land surfaces, whereas over the open ocean ECHAM3 with Monin Obukhov similarity works better. ECHAM3 with Rossby-number similarity theory delivers a better adapted vertical heat exchange under stable Arctic conditions and reduces the cold bias at the surface. The monthly mean surface turbulent heat Bur distribution strongly depends on the use of different PBL parameterizations and lends to different Arctic climate structures throughout the atmosphere with the strongest changes at the ice edge for January.</t>
  </si>
  <si>
    <t>Alfred Wegener Inst Polar &amp; Marine Res, Res Dept Potsdam, D-14473 Potsdam, Germany; Univ Potsdam, Inst Phys, D-14415 Potsdam, Germany; Deutsch Forsch Anstalt Luft &amp; Raumfahrt, D-37073 Gottingen, Germany; Russian Sci Ctr, Arctic &amp; Antarctic Res Inst, R-199397 St Petersburg, Russia</t>
  </si>
  <si>
    <t>Helmholtz Association; Alfred Wegener Institute, Helmholtz Centre for Polar &amp; Marine Research; University of Potsdam; Helmholtz Association; German Aerospace Centre (DLR)</t>
  </si>
  <si>
    <t>Dethloff, K (corresponding author), Alfred Wegener Inst Polar &amp; Marine Res, Res Dept Potsdam, Telegrafenberg A43, D-14473 Potsdam, Germany.</t>
  </si>
  <si>
    <t>Dethloff, Klaus/B-4879-2014; Rinke, Annette/B-4922-2014</t>
  </si>
  <si>
    <t>Rinke, Annette/0000-0002-6685-9219</t>
  </si>
  <si>
    <t>MUNKSGAARD INT PUBL LTD</t>
  </si>
  <si>
    <t>COPENHAGEN</t>
  </si>
  <si>
    <t>35 NORRE SOGADE, PO BOX 2148, DK-1016 COPENHAGEN, DENMARK</t>
  </si>
  <si>
    <t>0280-6495</t>
  </si>
  <si>
    <t>TELLUS A</t>
  </si>
  <si>
    <t>Tellus Ser. A-Dyn. Meteorol. Oceanol.</t>
  </si>
  <si>
    <t>10.1034/j.1600-0870.2001.01073.x</t>
  </si>
  <si>
    <t>398ZH</t>
  </si>
  <si>
    <t>WOS:000166786000001</t>
  </si>
  <si>
    <t>Goosse, H; Fichefet, T</t>
  </si>
  <si>
    <t>Open-ocean convection and polynya formation in a large-scale ice-ocean model</t>
  </si>
  <si>
    <t>ANTARCTIC BOTTOM WATER; WINTER MIXED LAYER; SEA-ICE; SOUTHERN-OCEAN; WORLD OCEAN; MAUD RISE; DEEP CONVECTION; WEDDELL POLYNYA; CIRCULATION; PARAMETERIZATION</t>
  </si>
  <si>
    <t>The physical processes responsible for the formation in a large-scale ice ocean model of an offshore polynya near the Greenwich meridian in the Southern Ocean are analysed. In this area, the brine release during ice formation in autumn is sufficient to destabilise the water column and trigger convection. This incorporates relatively warm water into the surface layer which, in a first step, slows down ice formation. In a second step, it gives rise to ice melting until the total disappearance of the ice at the end of September. Two elements are crucial for the polynya opening. The first one is a strong ice-transport divergence in fall induced by southeasterly winds, which enhances the amount of local ice formation and thus of brine release. The second is an inflow of relatively warm water at depth originating from the Antarctic Circumpolar Current, that sustains the intense vertical heat flux in the ocean during convection. The simulated polynya occurs in a region where such features have been frequently observed. Nevertheless. the model polynya is too wide and persistent. In addition, it develops each year, contrary to observations. The use of a climatological forcing with no interannual variability is the major cause of these deficiencies, the simulated too low density in the deep Southern Ocean and the coarse resolution of the model playing also a role. a passive tracer released in the polynya area indicates that the water mass produced there contributes significantly to the renewal of deep water in the Weddell Gyre and that it is a major component of the Antarctic Bottom Water (AABW) inflow into the model Atlantic.</t>
  </si>
  <si>
    <t>Univ Catholique Louvain, Inst Astron &amp; Geophys G Lemaitre, B-1348 Louvain, Belgium</t>
  </si>
  <si>
    <t>Goosse, H (corresponding author), Univ Catholique Louvain, Inst Astron &amp; Geophys G Lemaitre, 2 Chemin Cyclotron, B-1348 Louvain, Belgium.</t>
  </si>
  <si>
    <t>10.1034/j.1600-0870.2001.01061.x</t>
  </si>
  <si>
    <t>WOS:000166786000006</t>
  </si>
  <si>
    <t>Smellie, JL; Stone, P</t>
  </si>
  <si>
    <t>Geochemical characteristics and geotectonic setting of early Ordovician basalt lavas in the Ballantrae Complex ophiolite, SW Scotland</t>
  </si>
  <si>
    <t>TRANSACTIONS OF THE ROYAL SOCIETY OF EDINBURGH-EARTH SCIENCES</t>
  </si>
  <si>
    <t>Conference on Southern Uplands Terrane - Tectonics and Biostratigraphy within the Caledonian Orogen</t>
  </si>
  <si>
    <t>SEP 23-24, 1999</t>
  </si>
  <si>
    <t>EDINBURGH, SCOTLAND</t>
  </si>
  <si>
    <t>back-arc spreading; boninite; island arc; marginal basin; island arc; MORB; ocean island</t>
  </si>
  <si>
    <t>ARC BASIN BASALTS; VOLCANIC-ROCKS; TRACE-ELEMENT; ISLAND-ARC; SPREADING CENTER; MARIANA TROUGH; NEW-ZEALAND; EVOLUTION; ANTARCTICA; PETROLOGY</t>
  </si>
  <si>
    <t>The consensus of several geochemical studies is a polygenetic origin for the basic volcanic sequence within the Ballantrae Complex ophiolite. This overall agreement masks differences of opinion regarding local geochemical interpretation, the possible correlation of structurally isolated lava tracts, and the degree of structural imbrication responsible for the juxtaposition of the various lava types. Newly acquired data (XRF, INAA, ICP-MS) provide the best evidence yet obtained for the presence of a MORB component and establish a wider distribution for primitive tholeiitic basalts with plate-margin characteristics than had been previously reported. The two principal within-plate sequences (well established from extensive coastal outcrop) are geochemically indistinguishable, with one considered to be the deeper water equivalent of the other. Lithofacies and geochemical similarities encourage correlation of some inland and sparsely exposed examples of within-plate basalt with the well-exposed coastal sequences, and all of this lava type may have originated from a single, ocean island volcano. The diversity of outcrops formed in within-plate and plate-margin geotectonic settings is combined within a dynamic reconstruction of a Tremadoc to Arenig arc-trench system with an active back-arc spreading region. The new reconstruction reconciles for the first time all of the known geochemical and published isotopic age evidence.</t>
  </si>
  <si>
    <t>Smellie, JL (corresponding author), British Antarctic Survey, Madingley Rd, Cambridge CB3 0ET, England.</t>
  </si>
  <si>
    <t>ROYAL SOC EDINBURGH</t>
  </si>
  <si>
    <t>EDINBURGH</t>
  </si>
  <si>
    <t>22-24 GEORGE ST, EDINBURGH EH2 2PQ, MIDLOTHIAN, SCOTLAND</t>
  </si>
  <si>
    <t>0263-5933</t>
  </si>
  <si>
    <t>T ROY SOC EDIN-EARTH</t>
  </si>
  <si>
    <t>Trans. R. Soc. Edinb.-Earth Sci.</t>
  </si>
  <si>
    <t>10.1017/S0263593300008385</t>
  </si>
  <si>
    <t>Geosciences, Multidisciplinary; Paleontology</t>
  </si>
  <si>
    <t>Geology; Paleontology</t>
  </si>
  <si>
    <t>464VN</t>
  </si>
  <si>
    <t>WOS:000170552600019</t>
  </si>
  <si>
    <t>Stonik, VA</t>
  </si>
  <si>
    <t>Marine polar steroids</t>
  </si>
  <si>
    <t>USPEKHI KHIMII</t>
  </si>
  <si>
    <t>Russian</t>
  </si>
  <si>
    <t>DEEP-WATER STARFISH; INHIBITORY NATURAL-PRODUCTS; 2 POLYHYDROXYLATED STEROIDS; OPHIUROID-TYPE STEROIDS; SODIUM SCYMNOL SULFATE; OKINAWAN SOFT CORAL; STRUCTURE ELUCIDATION; ANTARCTIC STARFISH; BIOLOGICAL-ACTIVITY; ANTINEOPLASTIC AGENTS</t>
  </si>
  <si>
    <t>The structures, taxonomic distribution and biological activities of polar steroids isolated from marine organisms during the last 8 - 10 years are considered. Characteristic features of biogenesis of steroids in the marine biota and their possible biological functions are discussed. Syntheses of some highly active marine polar steroids are presented.</t>
  </si>
  <si>
    <t>Russian Acad Sci, Pacific Inst Bioorgan Chem, Far Eastern Branch, Vladivostok 690022, Russia</t>
  </si>
  <si>
    <t>Elyakov Pacific Institute of Bioorganic Chemistry; Russian Academy of Sciences</t>
  </si>
  <si>
    <t>Russian Acad Sci, Pacific Inst Bioorgan Chem, Far Eastern Branch, 159 Prosp 100letiya Vladivostoka, Vladivostok 690022, Russia.</t>
  </si>
  <si>
    <t>piboc@stl.ru</t>
  </si>
  <si>
    <t>Stonik, Valentin/O-1985-2013</t>
  </si>
  <si>
    <t>MEZHDUNARODNAYA KNIGA</t>
  </si>
  <si>
    <t>MOSCOW</t>
  </si>
  <si>
    <t>39 DIMITROVA UL., MOSCOW, 113095, RUSSIA</t>
  </si>
  <si>
    <t>0042-1308</t>
  </si>
  <si>
    <t>USP KHIM+</t>
  </si>
  <si>
    <t>Uspekhi Khimii</t>
  </si>
  <si>
    <t>Chemistry, Multidisciplinary</t>
  </si>
  <si>
    <t>702AR</t>
  </si>
  <si>
    <t>WOS:000184202900004</t>
  </si>
  <si>
    <t>Gasparon, M</t>
  </si>
  <si>
    <t>Cidu, R</t>
  </si>
  <si>
    <t>Anthropogenic lead in Antarctic fresh waters</t>
  </si>
  <si>
    <t>WATER-ROCK INTERACTION, VOLS 1 AND 2</t>
  </si>
  <si>
    <t>10th International Symposium on Water-Rock Interaction</t>
  </si>
  <si>
    <t>JUL 10-15, 2001</t>
  </si>
  <si>
    <t>VILLASIMIUS, ITALY</t>
  </si>
  <si>
    <t>LARSEMANN-HILLS; IMPACTS</t>
  </si>
  <si>
    <t>Freshwater lakes of the Larsemann Hills (East Antarctica) have extremely low concentrations of toxic metals, and their chemistry seems to be little affected by human activities at the nearby research stations. Relatively large amounts of Pb are introduced into some of the lake systems as a result of human activities at the research stations (mainly helicopter flights). Pb and other metals, however, are largely removed from the water column by sedimentation, adsorption, and complexation. Therefore, some of the processes derived from human impact (eutrophication and production of fine sediments resulting from the widespread use of tracked vehicles) are paradoxically very effective in reducing the concentration of toxic metals in the lake waters.</t>
  </si>
  <si>
    <t>Univ Queensland, Dept Earth Sci, St Lucia, Qld 4067, Australia</t>
  </si>
  <si>
    <t>University of Queensland</t>
  </si>
  <si>
    <t>Gasparon, M (corresponding author), Univ Queensland, Dept Earth Sci, St Lucia, Qld 4067, Australia.</t>
  </si>
  <si>
    <t>90-2651-824-2</t>
  </si>
  <si>
    <t>Geochemistry &amp; Geophysics; Environmental Sciences; Geology; Water Resources</t>
  </si>
  <si>
    <t>Geochemistry &amp; Geophysics; Environmental Sciences &amp; Ecology; Geology; Water Resources</t>
  </si>
  <si>
    <t>BT20E</t>
  </si>
  <si>
    <t>WOS:000172263500253</t>
  </si>
  <si>
    <t>Sheppard, DS</t>
  </si>
  <si>
    <t>The effects of hydrocarbon spills on the chemical environment in Antarctic soils</t>
  </si>
  <si>
    <t>Experimental and field studies indicate that one of the effects of the addition of hydrocarbon oils and fuels in Antarctic soils is the inhibition of the dissolution of salts in the soils. This effect is clearly seen in soils where heavier lubricating oils have been spilled and when vigorous shaking was used to extract the soluble salts. A laboratory investigation using natural soils and lighter diesel-type oils and minimal shaking also showed this effect. Freezing and extraction of the aqueous phase from these soil/diesel mixtures by centrifugation give solutions of significantly lower salt concentrations than predicted using FREZCHEM, a FORTRAN routine which calculates the composition of aqueous fluids upon cooling below 273 K. These observations can be explained by to the coating of salt grains with oil which inhibits contact with the aqueous phase. Contamination with hydrocarbons does not result in the net removal of salts from the soils.</t>
  </si>
  <si>
    <t>Geochem Solut, Petone, New Zealand</t>
  </si>
  <si>
    <t>Sheppard, DS (corresponding author), Geochem Solut, Petone, New Zealand.</t>
  </si>
  <si>
    <t>WOS:000172263500269</t>
  </si>
  <si>
    <t>Dare, RA; Budd, WF</t>
  </si>
  <si>
    <t>Analysis of surface winds at Mawson, Antarctica</t>
  </si>
  <si>
    <t>WEATHER AND FORECASTING</t>
  </si>
  <si>
    <t>KATABATIC WINDS</t>
  </si>
  <si>
    <t>An analysis is made of the wind regime at Mawson, Antarctica, to distinguish the meteorological characteristics leading to the gale force winds associated with blizzards as distinct from calm conditions or the relatively moderate and fairly steady surface katabatic winds. Investigation of relationships between the surface and midtropospheric winds over Mawson reveal that strong upper-level winds do not necessarily strengthen the surface wind, reinforcement of which varies with upper wind direction and season. Blizzard, katabatic, and calm wind categories and combinations of these are defined to allow investigation of different characteristics of winds. The importance of considering the katabatic near-surface jet component, which generally strengthens the surface wind, is demonstrated for categories of both weak and strong winds. Features of development in the midtropospheric flow during and 48 h prior to occurrences of blizzard, katabatic, and calm conditions are highlighted. Upper-level forcings associated with blizzard or calm conditions are related to slow-moving high pressure cells downstream. Similarities in forcing mechanisms of calm and katabatic periods suggest a relationship with the efficient drainage of low-level air, although there is evidence that upper-level opposition to the surface flow produces calm conditions.</t>
  </si>
  <si>
    <t>Univ Tasmania, Inst Antarctic &amp; So Ocean Studies, Hobart, Tas 7001, Australia; Univ Tasmania, Antarctic CRC, Hobart, Tas, Australia</t>
  </si>
  <si>
    <t>Bur Meteorol Res Ctr, GPO Box 1289K, Melbourne, Vic 3001, Australia.</t>
  </si>
  <si>
    <t>rad@bom.gov.au</t>
  </si>
  <si>
    <t>0882-8156</t>
  </si>
  <si>
    <t>1520-0434</t>
  </si>
  <si>
    <t>WEATHER FORECAST</t>
  </si>
  <si>
    <t>Weather Forecast.</t>
  </si>
  <si>
    <t>10.1175/1520-0434(2001)016&lt;0416:AOSWAM&gt;2.0.CO;2</t>
  </si>
  <si>
    <t>459UZ</t>
  </si>
  <si>
    <t>WOS:000170271000003</t>
  </si>
  <si>
    <t>le Mar, K; Southwell, C; McArthur, C</t>
  </si>
  <si>
    <t>Evaluation of line-transect sampling to estimate nocturnal densities of macropods in open and closed habitats</t>
  </si>
  <si>
    <t>WILDLIFE RESEARCH</t>
  </si>
  <si>
    <t>KANGAROOS</t>
  </si>
  <si>
    <t>Walked line transects were evaluated for estimating nocturnal densities of red-necked wallaby (Macropus rufogriseus) and the red-bellied pademelon (Thylogale billardierii) in a range of open and closed habitats. The use of cleared transect lines in densely vegetated habitats reduced noise produced by travelling, while permanent grid markers facilitated collection of perpendicular distance data at night. Results from sighting histograms indicated that animals did not display evasive movement in response to the observer before detection. The probabilities of detecting the macropod species varied significantly between habitats. Significant differences in probabilities of detection were also recorded within species between habitats. Consequently, line-transect sampling is recommended over strip-transect sampling for estimating species abundance when more than one species and/or habitat are of interest. Recommendations are made, however, for forest managers wanting to monitor macropod populations on newly established plantations, when line-transect sampling is not feasible and strip-transect sampling is the only alternative.</t>
  </si>
  <si>
    <t>Univ Tasmania, Sch Zool, CRC Sustainable Prod Forestry, Hobart, Tas 7001, Australia; Australian Antarctic Div, Kingston, Tas 7050, Australia</t>
  </si>
  <si>
    <t>le Mar, K (corresponding author), Univ Tasmania, Sch Zool, CRC Sustainable Prod Forestry, GPO Box 252-05, Hobart, Tas 7001, Australia.</t>
  </si>
  <si>
    <t>McArthur, Clare/AAI-2493-2020; McArthur, Clare/A-3637-2011</t>
  </si>
  <si>
    <t>McArthur, Clare/0000-0002-7867-414X;</t>
  </si>
  <si>
    <t>1035-3712</t>
  </si>
  <si>
    <t>WILDLIFE RES</t>
  </si>
  <si>
    <t>Wildl. Res.</t>
  </si>
  <si>
    <t>10.1071/WR99088</t>
  </si>
  <si>
    <t>Ecology; Zoology</t>
  </si>
  <si>
    <t>Environmental Sciences &amp; Ecology; Zoology</t>
  </si>
  <si>
    <t>420TN</t>
  </si>
  <si>
    <t>WOS:000168021500002</t>
  </si>
  <si>
    <t>Chapuis, JL; Le Roux, V; Asseline, J; Lefèvre, L; Kerleau, F</t>
  </si>
  <si>
    <t>Eradication of rabbits (Oryctolagus cuniculus) by poisoning on three islands of the subantarctic Kerguelen Archipelago</t>
  </si>
  <si>
    <t>SUB-ANTARCTIC ISLANDS; BRODIFACOUM RESIDUES; MYXOMATOSIS; TARGET</t>
  </si>
  <si>
    <t>In order to rehabilitate islands of the Kerguelen Archipelago degraded by the rabbit (Oryctolagus cuniculus), a program of eradication by poisoning was implemented from 1992 onwards on three islands: Verte Island (148 ha), Guillou Island (145 ha) and Cochons Island (165 ha). The poison used was a first-generation anticoagulant, chlorophacinone (0.05 g kg(-1)) on wheat bait treated to prevent germination. Bait was applied during the winter (July) in 1992 on Verte Island, in 1994 on Guillou Island and in 1997 on Cochons Island. Before poisoning, there were about 1250-1300 rabbits on Verte and Guillou Islands (9 rabbits per hectare) and 2600 rabbits on Cochons Island (16 rabbits per hectare). In total, about 1200, 1300 and 1600 kg of bait were distributed respectively on each island. Fifteen days after poisoning commenced 90% of the rabbits had died on Verte and Guillou Islands and 80% on Cochons Island. Two months later, only a small number of individuals survived; these were eliminated by shooting or poisoning, except on Cochons Island where a second bait application was necessary in the winter of 1999. No rabbits or tracks have been observed since 1994 on Verte Island, and since 1996 on Guillou Island, and the elimination of the last individuals is under way on Cochons Island. Inadvertent poisoning of nontarget species by primary poisoning mainly involved two species of native birds (Larus dominicanus, Anas eatoni) and the mouse (Mus musculus) on Guillou and Cochons Islands. The cat (Felis catus) on Guillou Island was the only species killed by secondary poisoning. The results are compared with other rabbit-eradication operations using a second-generation anticoagulant.</t>
  </si>
  <si>
    <t>Museum Natl Hist Nat, Lab Evolut Syst Nat &amp; Modifies, CNRS, UMR 6553, F-75005 Paris, France</t>
  </si>
  <si>
    <t>Centre National de la Recherche Scientifique (CNRS); CNRS - Institute of Ecology &amp; Environment (INEE); Museum National d'Histoire Naturelle (MNHN)</t>
  </si>
  <si>
    <t>Museum Natl Hist Nat, Lab Evolut Syst Nat &amp; Modifies, CNRS, UMR 6553, 36 Rue Geoffroy St Hilaire, F-75005 Paris, France.</t>
  </si>
  <si>
    <t>chapuis@mnhn.fr</t>
  </si>
  <si>
    <t>1448-5494</t>
  </si>
  <si>
    <t>10.1071/WR00042</t>
  </si>
  <si>
    <t>462AV</t>
  </si>
  <si>
    <t>WOS:000170397400012</t>
  </si>
  <si>
    <t>Dispersal of southern elephant seals (Mirounga leonina L.) marked at Macquarie Island</t>
  </si>
  <si>
    <t>POPULATION; PATTERNS</t>
  </si>
  <si>
    <t>Southern elephant seals marked at Macquarie Island disperse to distant locations where they are sometimes seen during their moult and, for juveniles, a mid-year haul-out period (July-August). Most (87%) of these resighted seals were within 1000 km of Macquarie Island, and most commonly at Campbell Island (700 km to the north-east). The sex and age classes most likely to disperse there were males less than two years old. Male elephant seals of all ages were resighted significantly more often than females, the ratio being 2 : 1 (P &gt; 0.05). Migration duration tended to increase with the seals' age but migration distance was underestimated from resight observations when compared with known telemetry records. Emigration from the Macquarie Island population appears limited. From the resight effort at Campbell Island during 1995 the maximum proportion of the juvenile population from Macquarie Island to haul-out at Campbell Island was in the order of 0.0053.</t>
  </si>
  <si>
    <t>van den Hoff, J (corresponding author), Australian Antarctic Div, Channel Highway, Kingston, Tas 7050, Australia.</t>
  </si>
  <si>
    <t>10.1071/WR00065</t>
  </si>
  <si>
    <t>490EK</t>
  </si>
  <si>
    <t>WOS:000172037300008</t>
  </si>
  <si>
    <t>Tierney, M; Hindell, M; Lea, MA; Tollit, D</t>
  </si>
  <si>
    <t>A comparison of techniques used to estimate body condition of southern elephant seals (Mirounga leonina)</t>
  </si>
  <si>
    <t>ANTARCTIC FUR SEALS; BIOELECTRICAL-IMPEDANCE ANALYSIS; HYDROGEN ISOTOPE-DILUTION; HARP SEALS; ARCTOCEPHALUS-GAZELLA; NUTRIENT DEPOSITION; BLUBBER THICKNESS; HARBOR SEALS; WATER FLUX; LACTATION</t>
  </si>
  <si>
    <t>The total body water (TBW) and body condition of 86 female southern elephant seals was estimated from tritiated water (HTO) dilution space analysis. HTO blood samples were analysed using two distillation methods (direct serum counts and evaporative freeze capture) that yielded significantly different estimates. Evaporative freeze capture is recommended for use because it is faster, cheaper, and provides a more precise TBW estimate of dilution space. Estimates of TBW were then compared with those derived from bioelectrical impedance analysis (BIA) and morphometric models. There were significant, positive relationships between TBW and BIA variables, but the level of accuracy was inadequate for BIA to be more useful than the other methods trialled. Morphometric models accurately estimated TBW (kg). Models developed from surface area (SA) (TBW = [SA * 82.58]-86.94) and from a combination of mass (M), length (L), and girth (G) (TBW = [( M * 0.72) + (L * 5.49) + (G * 134.94) + 164.36)] provided the most accurate TBW estimates. In contrast, condition indices did not give accurate or reliable estimates of relative body condition.</t>
  </si>
  <si>
    <t>Univ Tasmania, Inst Antarctic &amp; So Ocean Studies, Hobart, Tas 7001, Australia; Univ Tasmania, Antarctic Wildlife Res Unit, Sch Zool, Hobart, Tas 7001, Australia</t>
  </si>
  <si>
    <t>Tierney, M (corresponding author), Univ Tasmania, Inst Antarctic &amp; So Ocean Studies, POB 252-05, Hobart, Tas 7001, Australia.</t>
  </si>
  <si>
    <t>Hindell, Mark A/K-1131-2013; Lea, Mary-Anne/E-9054-2013</t>
  </si>
  <si>
    <t>Lea, Mary-Anne/0000-0001-8318-9299; Hindell, Mark/0000-0002-7823-7185</t>
  </si>
  <si>
    <t>10.1071/WR00066</t>
  </si>
  <si>
    <t>503VD</t>
  </si>
  <si>
    <t>WOS:000172821400005</t>
  </si>
  <si>
    <t>Hagen, W; Auel, H</t>
  </si>
  <si>
    <t>Seasonal adaptations and the role of lipids in oceanic zooplankton</t>
  </si>
  <si>
    <t>ZOOLOGY-ANALYSIS OF COMPLEX SYSTEMS</t>
  </si>
  <si>
    <t>94th Annual Meeting of the German-Zoological-Society</t>
  </si>
  <si>
    <t>JUN 04-08, 2001</t>
  </si>
  <si>
    <t>UNIV OSNABRUCK, OSNABRUCK, GERMANY</t>
  </si>
  <si>
    <t>UNIV OSNABRUCK</t>
  </si>
  <si>
    <t>krill; copepods; lipids; life cycle strategies; polar oceans</t>
  </si>
  <si>
    <t>LIFE-CYCLE STRATEGIES; MARGINAL ICE-ZONE; ANTARCTIC MICRONEKTONIC CRUSTACEA; THYSANOESSA-INERMIS KROYER; COPEPOD CALANUS-GLACIALIS; EASTERN WEDDELL-SEA; WAX ESTERS; CALANOIDES-ACUTUS; MARINE COPEPOD; EUPHAUSIA-CRYSTALLOROPHIAS</t>
  </si>
  <si>
    <t>Oceanic zooplankton species exhibit quite diverse life history traits. A major driving force determining their life strategies is the seasonal variability in food supply, which is most pronounced in polar oceans where fluctuations in primary production are extreme. Seasonal adaptations are closely related to the trophic level of zooplankters, with strongest pressures occurring on herbivorous organisms. The dominant grazers, calanoid copepods and krill (Euphausiacea), have developed fascinating solutions for successful overwintering at higher latitudes. They usually exhibit a very efficient storage and utilization of energy reserves to reduce the effect of a highly seasonal primary production. The predominant larger Calanus species from the Arctic and Calanoides acutus from the Antarctic biosynthesize large amounts of high-energy wax esters with Iong-chain monounsaturated fatty acids and alcohols (20:1 and 22:1 isomers) as major components. They survive the dark season at depth in a stage of dormancy called diapause. In contrast, the Antarctic Calanus propinquus, a winter-active species, synthesizes primarily triacylglycerols, which are dominated by long-chain monounsaturated fatty acids with 22 carbon atoms (2 isomers) and yield even higher calorific contents. The omnivorous and carnivorous species, which are less subjected to seasonal food shortage, usually do not exhibit such an elaborate lipid biosynthesis. Herbivores usually do not utilize much of their enormous lipid reserves for overwintering, but channel this energy towards reproductive processes in late winter/early spring. Timing of reproduction is critical especially at high latitudes due to the short production period, and lipid reserves ensure early spawning independent of external resources. These energetic adaptations (dormancy, lipid storage) are supplemented by other life strategies such as extensive vertical migrations, change in the mode of life, and trophic flexibility.</t>
  </si>
  <si>
    <t>Univ Bremen, Marine Zool FB2, D-28334 Bremen, Germany</t>
  </si>
  <si>
    <t>Hagen, W (corresponding author), Univ Bremen, Marine Zool FB2, POB 330 440, D-28334 Bremen, Germany.</t>
  </si>
  <si>
    <t>Hagen, Wilhelm/0000-0002-7462-9931</t>
  </si>
  <si>
    <t>0944-2006</t>
  </si>
  <si>
    <t>ZOOL-ANAL COMPLEX SY</t>
  </si>
  <si>
    <t>Zool.-Anal. Complex Syst.</t>
  </si>
  <si>
    <t>10.1078/0944-2006-00037</t>
  </si>
  <si>
    <t>531RZ</t>
  </si>
  <si>
    <t>WOS:000174431600017</t>
  </si>
  <si>
    <t>Gradinger, RR</t>
  </si>
  <si>
    <t>Adaptation of Arctic and Antarctic ice metazoa to their habitat</t>
  </si>
  <si>
    <t>Arctic; Antarctic; sea ice; fauna; adaptation</t>
  </si>
  <si>
    <t>WEDDELL SEA ANTARCTICA; PACK-ICE; GREENLAND SEA; BARENTS SEA; LIFE-CYCLE; ABUNDANCE; SALINITY; COPEPODS; BIOMASS; FAUNA</t>
  </si>
  <si>
    <t>Sea ice is a unique habitat in polar seas. A diverse assemblage of plants and animals lives in its interior parts and at the ice-water interface. Their distribution is to a large extent controlled by abiotic parameters such as light, salinity and space, as well as food availability. In both the Arctic and Antarctic, the highest metazoan concentrations occur mostly in the bottom centimetres of the sea ice. Dominant metazoans are nematodes, turbellarians, rotifers and crustaceans. The ice-water interface itself houses in addition to endemic amphipods migrants from both the ice and the pelagic realm. To survive with the environmental conditions of the sea ice habitat, the ice biota is adapted, specifically to seasonal salinity variations from below 5 to above 60 PSU. Sea ice metazoans feed mainly on the algae growing within the sea ice. The loss of habitat during ice melt periods can lead to substantial sedimentation of ice fauna to the sea floor, where it might act as food source for the benthos.</t>
  </si>
  <si>
    <t>Univ Alaska, Sch Fisheries &amp; Ocean Sci, Inst Marine Sci, Fairbanks, AK 99775 USA</t>
  </si>
  <si>
    <t>University of Alaska System; University of Alaska Fairbanks</t>
  </si>
  <si>
    <t>Gradinger, RR (corresponding author), Univ Alaska, Sch Fisheries &amp; Ocean Sci, Inst Marine Sci, Fairbanks, AK 99775 USA.</t>
  </si>
  <si>
    <t>Gradinger, Rolf/E-4965-2015</t>
  </si>
  <si>
    <t>Gradinger, Rolf/0000-0001-6035-3957</t>
  </si>
  <si>
    <t>10.1078/0944-2006-00039</t>
  </si>
  <si>
    <t>WOS:000174431600019</t>
  </si>
  <si>
    <t>Naraoka, H; Shimoyama, A; Harada, K</t>
  </si>
  <si>
    <t>Isotopic evidence from an Antarctic carbonaceous chondrite for two reaction pathways of extraterrestrial PAH formation</t>
  </si>
  <si>
    <t>EARTH AND PLANETARY SCIENCE LETTERS</t>
  </si>
  <si>
    <t>Antarctic; carbonaceous chondrites; polycyclic aromatic hydrocarbons; isotope ratios; kinetics</t>
  </si>
  <si>
    <t>POLYCYCLIC AROMATIC-HYDROCARBONS; MONOCARBOXYLIC ACIDS</t>
  </si>
  <si>
    <t>Polycyclic aromatic hydrocarbons (PAHs) are one of the most ubiquitous organic compounds in the universe. PAHs are sometimes used as a molecular marker for biological activity, however, they are also formed by abiogenic processes. Carbon isotopic compositions of individual PAHs have important clues to clarify their origins and formation mechanisms for the better understanding in organic cosmogeochemistry of PAHs. In the Asuka-881458 carbonaceous chondrite which was recovered from Antarctica in 1989, more than 70 PAHs were identified from naphthalene to benzo(ghi)perylene, where fluoranthene and pyrene are the most abundant. Carbon isotopic compositions of individual PAHs range from -26 to 8 parts per thousand (relative to PDB). More condensed PAHs are more depleted in C-13 as the H/C ratio decreases. The carbon isotope distribution of PAHs containing more than three rings is similar to that from the Murchison meteorite, but clearly different from that of the terrestrial PAHs. The isotope distribution suggests that the PAHs in carbonaceous chondrites are formed under kinetic control rather than by thermodynamic equilibrium. In particular, two reaction pathways ('pyrene series' and 'fluoranthene series') can be distinguished assuming kinetic control. The relatively large isotopic fractionation could occur during cyclization and/or carbon addition in the interstellar or meteorite parent body environment. (C) 2000 Elsevier Science B.V. All rights reserved.</t>
  </si>
  <si>
    <t>Tokyo Metropolitan Univ, Dept Chem, Hachioji, Tokyo 1920397, Japan; Univ Tsukuba, Dept Chem, Tsukuba, Ibaraki 3058571, Japan</t>
  </si>
  <si>
    <t>Tokyo Metropolitan University; University of Tsukuba</t>
  </si>
  <si>
    <t>Tokyo Metropolitan Univ, Dept Chem, 1-1 Minami Ohsawa, Hachioji, Tokyo 1920397, Japan.</t>
  </si>
  <si>
    <t>naraoka-hiroshi@c.metro-u.ac.jp</t>
  </si>
  <si>
    <t>Naraoka, Hiroshi/0000-0002-2373-8759</t>
  </si>
  <si>
    <t>0012-821X</t>
  </si>
  <si>
    <t>1385-013X</t>
  </si>
  <si>
    <t>EARTH PLANET SC LETT</t>
  </si>
  <si>
    <t>Earth Planet. Sci. Lett.</t>
  </si>
  <si>
    <t>DEC 30</t>
  </si>
  <si>
    <t>10.1016/S0012-821X(00)00316-2</t>
  </si>
  <si>
    <t>391CA</t>
  </si>
  <si>
    <t>WOS:000166335500001</t>
  </si>
  <si>
    <t>German, CR; Livermore, RA; Baker, ET; Bruguier, NI; Connelly, DP; Cunningham, AP; Morris, P; Rouse, IP; Statham, PJ; Tyler, PA</t>
  </si>
  <si>
    <t>Hydrothermal plumes above the East Scotia Ridge: an isolated high-latitude back-arc spreading centre</t>
  </si>
  <si>
    <t>hydrothermal conditions; spreading centers; Antarctica; biogeography</t>
  </si>
  <si>
    <t>MID-ATLANTIC RIDGE; PACIFIC RISE; MANGANESE; DEEP</t>
  </si>
  <si>
    <t>We have identified first evidence for the presence of submarine hydrothermal activity along the East Scotia Ridge an isolated back-are spreading centre located at 55-60 degreesS in the Atlantic sector of the Southern Ocean. Using a combination of in situ optical light-scattering sensor data, and total dissolvable Mn concentrations, we demonstrate the existence of hydrothermal plumes overlying two segments of this similar to 500 km ridge-crest; both segments exhibit anomalous topography and at least one segment is also underlain by an axial magma chamber seismic reflector. Future investigation of the fauna that inhabit these remote hydrothermal environments may provide an important 'missing link' between the distinct biogeographical provinces delimited from previous investigation of northern Atlantic versus eastern Pacific vent-sites. (C) 2000 Elsevier Science B.V. All rights reserved.</t>
  </si>
  <si>
    <t>Southampton Oceanog Ctr, Southampton SO14 3ZH, Hants, England; British Antarctic Survey, Cambridge CB3 0ET, England; NOAA, Pacific Marine Environm Lab, Seattle, WA 98115 USA</t>
  </si>
  <si>
    <t>NERC National Oceanography Centre; University of Southampton; UK Research &amp; Innovation (UKRI); Natural Environment Research Council (NERC); NERC British Antarctic Survey; National Oceanic Atmospheric Admin (NOAA) - USA</t>
  </si>
  <si>
    <t>German, CR (corresponding author), Southampton Oceanog Ctr, Southampton SO14 3ZH, Hants, England.</t>
  </si>
  <si>
    <t>Baker, Edward/C-7688-2015; Livermore, Roy/M-1566-2019</t>
  </si>
  <si>
    <t>10.1016/S0012-821X(00)00319-8</t>
  </si>
  <si>
    <t>WOS:000166335500018</t>
  </si>
  <si>
    <t>Riggio, M; Scudiero, R; Filosa, S; Parisi, E</t>
  </si>
  <si>
    <t>Sex- and tissue-specific expression of aspartic proteinases in Danio rerio (zebrafish)</t>
  </si>
  <si>
    <t>GENE</t>
  </si>
  <si>
    <t>cathepsin D; evolution; gene expression; nothepsin</t>
  </si>
  <si>
    <t>CATHEPSIN-D; MOLECULAR-CLONING; VITELLOGENIN GENE; ENZYME; LIVER</t>
  </si>
  <si>
    <t>Full-length zebrafish cDNAs encoding two aspartic proteinases were cloned and sequenced. One of the two cDNAs was a 1708 bp product with an open reading frame of 398 amino acid residues corresponding to a cathepsin D. The other was a 1383 bp product encoding a polypeptide chain of 416 amino acids homologous to nothepsin, an aspartic proteinase first identified by us in the liver of Antarctic Notothenioidei. Gene expression assessed by RT-PCR and northern blot hybridization of RNA from different tissues showed that the expression was tissue- and sex-specific. Whereas the cathepsin D gene was expressed in all the tissues examined independently of the sex, the nothepsin gene was expressed exclusively in female livers. (C) 2000 Elsevier Science B.V. All rights reserved.</t>
  </si>
  <si>
    <t>CNR, Ist Biochim Prot &amp; Enzimol, I-80125 Naples, Italy; Univ Naples Federico II, Dipartimento Biol Evolut &amp; Comparata, Naples, Italy</t>
  </si>
  <si>
    <t>Consiglio Nazionale delle Ricerche (CNR); Istituto di Biochimica delle Proteine (IBP-CNR); University of Naples Federico II</t>
  </si>
  <si>
    <t>Parisi, E (corresponding author), CNR, Ist Biochim Prot &amp; Enzimol, I-80125 Naples, Italy.</t>
  </si>
  <si>
    <t>parisi@dafne.ibpe.na.cnr.it</t>
  </si>
  <si>
    <t>Scudiero, Rosaria/AAI-2119-2020</t>
  </si>
  <si>
    <t>Scudiero, Rosaria/0000-0002-8186-9722</t>
  </si>
  <si>
    <t>0378-1119</t>
  </si>
  <si>
    <t>1879-0038</t>
  </si>
  <si>
    <t>Gene</t>
  </si>
  <si>
    <t>10.1016/S0378-1119(00)00469-8</t>
  </si>
  <si>
    <t>Genetics &amp; Heredity</t>
  </si>
  <si>
    <t>387UX</t>
  </si>
  <si>
    <t>WOS:000166141200007</t>
  </si>
  <si>
    <t>Sheridan, PP; Panasik, N; Coombs, JM; Brenchley, JE</t>
  </si>
  <si>
    <t>Approaches for deciphering the structural basis of low temperature enzyme activity</t>
  </si>
  <si>
    <t>BIOCHIMICA ET BIOPHYSICA ACTA-PROTEIN STRUCTURE AND MOLECULAR ENZYMOLOGY</t>
  </si>
  <si>
    <t>psychrophile; enzyme; structure; directed evolution</t>
  </si>
  <si>
    <t>IN-VITRO RECOMBINATION; SEA HYDROTHERMAL VENT; SEQUENTIAL RANDOM MUTAGENESIS; SITE-DIRECTED MUTAGENESIS; AMINO-ACID SUBSTITUTIONS; ALPHA-AMYLASE; COLD ADAPTATION; ALTEROMONAS-HALOPLANCTIS; ANTARCTIC BACTERIUM; BETA-GALACTOSIDASE</t>
  </si>
  <si>
    <t>An increasing number of enzymes active at low temperature are being studied to help determine the structural features important for cold-activity. This review examines the diversity of prokaryotic cold-active enzymes and the features proposed to account for low temperature activity. We then consider the difficulty of identifying the key structural features needed for cold-activity and the need to compare enzymes having different temperature optima from phylogenetically related organisms to determine features responsible for low temperature activity. In addition to studying naturally occurring enzymes, directed evolution experiments are discussed as methods for examining the proposed mechanisms influencing the thermal dependence of activity. (C) 2000 Elsevier Science B.V. All rights reserved.</t>
  </si>
  <si>
    <t>Penn State Univ, Dept Biochem &amp; Mol Biol, University Pk, PA 16802 USA</t>
  </si>
  <si>
    <t>Pennsylvania Commonwealth System of Higher Education (PCSHE); Pennsylvania State University; Pennsylvania State University - University Park</t>
  </si>
  <si>
    <t>Sheridan, PP (corresponding author), Penn State Univ, Dept Biochem &amp; Mol Biol, University Pk, PA 16802 USA.</t>
  </si>
  <si>
    <t>0167-4838</t>
  </si>
  <si>
    <t>BBA-PROTEIN STRUCT M</t>
  </si>
  <si>
    <t>Biochim. Biophys. Acta-Protein Struct. Molec. Enzym.</t>
  </si>
  <si>
    <t>DEC 29</t>
  </si>
  <si>
    <t>10.1016/S0167-4838(00)00237-5</t>
  </si>
  <si>
    <t>Biochemistry &amp; Molecular Biology; Biophysics</t>
  </si>
  <si>
    <t>394AB</t>
  </si>
  <si>
    <t>WOS:000166500900012</t>
  </si>
  <si>
    <t>Heron, GA; Frost, BW</t>
  </si>
  <si>
    <t>Copepods of the family Oncaeidae (Crustacea: Poecilostomatoida) in the northeast Pacific Ocean and inland coastal waters of Washington State</t>
  </si>
  <si>
    <t>PROCEEDINGS OF THE BIOLOGICAL SOCIETY OF WASHINGTON</t>
  </si>
  <si>
    <t>NON-CALANOID COPEPODS; SMALL METAZOAN PLANKTON; VERTICAL STRUCTURE; RED-SEA</t>
  </si>
  <si>
    <t>Thirty species of the poecilostome copepod family Oncaeidae are recorded from zooplankton samples collected in deep water from the northeast Pacific Ocean and inland coastal waters of Washington State. Seven new species of Oncaea are described (O. canadensis, O. thoresoni, O. insolita, O. rotata, O. grossa, O. rimula, and O. glabra) and males of five species for which only females were previously described (three Oncaea, one Epicalylmma, and one Cornea) are identified and characterized. Comparisons are made of several northeast Pacific species which have also been recorded from the Arctic Ocean, Antarctic Ocean, and waters around New Zealand. Keys are provided for the three Oncaeidae genera included in this study and for the 23 species of Oncaea, 4 species of Epicalymuna, and 3 species of Conaea.</t>
  </si>
  <si>
    <t>Heron, GA (corresponding author), Univ Washington, Sch Oceanog, Box 357940, Seattle, WA 98195 USA.</t>
  </si>
  <si>
    <t>BIOL SOC WASHINGTON</t>
  </si>
  <si>
    <t>NAT MUSEUM NAT HIST SMITHSONIAN INST, WASHINGTON, DC 20560 USA</t>
  </si>
  <si>
    <t>0006-324X</t>
  </si>
  <si>
    <t>1943-6327</t>
  </si>
  <si>
    <t>P BIOL SOC WASH</t>
  </si>
  <si>
    <t>Proc. Biol. Soc. Wash.</t>
  </si>
  <si>
    <t>389YA</t>
  </si>
  <si>
    <t>WOS:000166265200017</t>
  </si>
  <si>
    <t>Dwyer, GS; Cronin, TM; Baker, PA; Rodriguez-Lazaro, J</t>
  </si>
  <si>
    <t>Dwyer, Gary S.; Cronin, Thomas M.; Baker, Paul A.; Rodriguez-Lazaro, Julio</t>
  </si>
  <si>
    <t>Changes in North Atlantics deep-sea temperature during climate fluctuations of the last 25,000 years based on ostracode Mg/Ca ratios</t>
  </si>
  <si>
    <t>GEOCHEMISTRY GEOPHYSICS GEOSYSTEMS</t>
  </si>
  <si>
    <t>Ostracode; magnesium/calcium ratio; ocean temperature; deep sea; paleothermometer; shell chemistry</t>
  </si>
  <si>
    <t>We reconstucted three time series of last glacial-to-present deep-sea temperature from deep and intermediate water sediment cores from the western North Atlantic using Mg/Ca ratios of benthic ostracode shells. Although the Mg/Ca data show considerable variability (scatter) that is common a single-shell chemical analyses, comparisons between cores, between core top shells and modern bottom water temperatures (BWT), and comparison to other paleo-BWT proxies, among other factors, suggest that multiple-shell average Mg/Ca ratios provide reliable estimates to BWT history at these sites. The BWT records show not only glacial-to-interglacial variations but also indicate BWT changes during the deglacial and within the Holocene interglacial stage. At the deeper sites (4500- and possibly during the Younger Dryas. Maximum deep-sea warming occurred during the latest deglacial and early Holocene, when BWT exceeded modern values by as much as 2.5 degrees C. This warming was apparently most intense around 3000 m, the depth of the modern-day core of North Atlantic deep water (NADW). The BWT significs enhanced NADW influence relative to Antarctic botton water(AABW). Thus maximum NADW production and associated heat flux likely occured during the early Holoccne and decreased abruptly around 6500 years B.P., a finding that is largely consistent with palconutrient studies in the deep North Atlantic. BWT changes in intermediate waters (1000-m water depth) of the subtropical gyre roughly parallel the deep BWT variations including dramatic mid-Holocene cooling of around 4 degrees C. Joint consideration of the Mg/Ca BWT estimates and benthic oxygen isotopes suggests that the cooling was accompanied by a decrease in salinity at this site. Subsequently, intermediate waters warmed to modern values that match those of the early Holocene maximum of similar to 7 degrees C. Intermediate water BWT changes must also be driven by changes in ocean circulation. These results thus provide independent evidence that supports the hypothesis that deep-ocean circulation is closely linked to climate change over a range of timescales regardless of the mean climate state. More generally, the results further demonstrate the potential of benthic Mg/Ca ratios as a tool for reconstucting past ocean and climate conditions.</t>
  </si>
  <si>
    <t>[Dwyer, Gary S.; Baker, Paul A.] Duke Univ, Div Earth &amp; Ocean Sci, Durham, NC 27708 USA; [Cronin, Thomas M.] US Geol Survey, Reston, VA 20192 USA; [Rodriguez-Lazaro, Julio] Univ Basque Country, Dept Paleontol, E-48080 Bilbao, Spain</t>
  </si>
  <si>
    <t>Duke University; United States Department of the Interior; United States Geological Survey; University of Basque Country</t>
  </si>
  <si>
    <t>Dwyer, GS (corresponding author), Duke Univ, Div Earth &amp; Ocean Sci, Durham, NC 27708 USA.</t>
  </si>
  <si>
    <t>gsd3@duke.edu; tcronin@usgs.gov; pbaker@eos.duke.edu; gpprolaj@lg.ehu.es</t>
  </si>
  <si>
    <t>Rodriguez-Lazaro, Julio/F-8583-2016</t>
  </si>
  <si>
    <t>Rodriguez-Lazaro, Julio/0000-0002-7437-6110</t>
  </si>
  <si>
    <t>U.S. National Science Foundation; U.S. Office of Naval Research; U.S. Geological Survey</t>
  </si>
  <si>
    <t>U.S. National Science Foundation(National Science Foundation (NSF)); U.S. Office of Naval Research(Office of Naval Research); U.S. Geological Survey(United States Geological Survey)</t>
  </si>
  <si>
    <t>We thank D. DeMartino for technical support; E.Klein for use of the Duke University Division of earth and Ocean Sciences DCP-AES laboratory; W.Curry, J. Broda, and P.Mills for sampling assistance; E. A. Boyle, L.D. Keigwin, T. Marchitto for sample splits and/or benthic foraminiferal chemistry data in digital formatm and L. Pratson for constructing the BWT/depth/time grids. This research was supported by the U.S. National Science Foundation (G.S.D., P.A.B., and T.M.C) and the U.S. Geological Survey (G.S.D. and P.A.B). The U.S. National Science Foundation and U.S. Office of Naval Research provide financial support to The Seafloor Samples Lab of Woods Hole Oceanographic Institution. Thoughtful reviews by K.C. Lohmann and two anonymous reviewers significantly improved the manuscript.</t>
  </si>
  <si>
    <t>1525-2027</t>
  </si>
  <si>
    <t>GEOCHEM GEOPHY GEOSY</t>
  </si>
  <si>
    <t>Geochem. Geophys. Geosyst.</t>
  </si>
  <si>
    <t>DEC 28</t>
  </si>
  <si>
    <t>V22KL</t>
  </si>
  <si>
    <t>WOS:000208274000001</t>
  </si>
  <si>
    <t>Sommer, S; Appenzeller, C; Röthlisberger, R; Hutterli, MA; Stauffer, B; Wagenbach, D; Oerter, H; Wilhelms, F; Miller, H; Mulvaney, R</t>
  </si>
  <si>
    <t>Glacio-chemical study spanning the past 2 kyr on three ice cores from Dronning Maud Land, Antarctica -: 1.: Annually resolved accumulation rates</t>
  </si>
  <si>
    <t>JOURNAL OF GEOPHYSICAL RESEARCH-ATMOSPHERES</t>
  </si>
  <si>
    <t>SOUTH-POLE; SNOW ACCUMULATION; ATMOSPHERE; GREENLAND; VOLCANISM; MODEL; STRATIGRAPHY; TEMPERATURE; CLIMATE</t>
  </si>
  <si>
    <t>For the first time, annually resolved accumulation rates have been determined in central Antarctica by means of counting seasonal signals of ammonium, calcium, and sodium. All records, obtained from three intermediate depth ice cores from Dronning Maud Land, East Antarctica, show rather constant accumulation rates throughout the last 9 land a typical year-to-year centuries with mean values of 63, 61, and 44 mm H2O y(-1) variation of about 30%. For the last few decades, no trend was detected accounting for the high natural variability of all records. A significant weak intersite correlation is apparent only between two cores when the high-frequency part with periods less than 30 years is removed. By analyzing the records in the frequency domain, no persistent periods were found. This suggests that the snow accumulation in this area is mainly influenced by local deposition patterns and may be additionally masked by redistribution of snow due to wind. By comparing accumulation rates over the last 2 millennia a distinct change in the layer thickness in one of the three cores was found, which might be attributed either to an area upstream of the drilling site with lower accumulation rates, or to deposition processes influenced by surface undulations. The missing of a clear correlation between the accumulation rate histories at the three locations is also important for the interpretation of small, short time variations of past precipitation records obtained from deep ice cores.</t>
  </si>
  <si>
    <t>Univ Bern, Inst Phys, CH-3012 Bern, Switzerland; Alfred Wegener Inst Polar &amp; Marine Res, D-27568 Bremerhaven, Germany; British Antarctic Survey, NERC, Cambridge CB3 0ET, England; Univ Heidelberg, Inst Umweltphys, D-69120 Heidelberg, Germany</t>
  </si>
  <si>
    <t>University of Bern; Helmholtz Association; Alfred Wegener Institute, Helmholtz Centre for Polar &amp; Marine Research; UK Research &amp; Innovation (UKRI); Natural Environment Research Council (NERC); NERC British Antarctic Survey; Ruprecht Karls University Heidelberg</t>
  </si>
  <si>
    <t>Sommer, S (corresponding author), Univ Bern, Inst Phys, Sidlerstr 5, CH-3012 Bern, Switzerland.</t>
  </si>
  <si>
    <t>Appenzeller, Christof/AAA-8989-2022; Appenzeller, Christof/B-3015-2013; Mulvaney, Robert/K-3929-2012</t>
  </si>
  <si>
    <t>Appenzeller, Christof/0000-0002-9939-9845; Appenzeller, Christof/0000-0002-9939-9845; Mulvaney, Robert/0000-0002-5372-8148; Wilhelms, Frank/0000-0001-7688-3135</t>
  </si>
  <si>
    <t>0747-7309</t>
  </si>
  <si>
    <t>J GEOPHYS RES-ATMOS</t>
  </si>
  <si>
    <t>J. Geophys. Res.-Atmos.</t>
  </si>
  <si>
    <t>DEC 27</t>
  </si>
  <si>
    <t>D24</t>
  </si>
  <si>
    <t>10.1029/2000JD900449</t>
  </si>
  <si>
    <t>391LY</t>
  </si>
  <si>
    <t>Green Accepted, Green Published, Bronze</t>
  </si>
  <si>
    <t>WOS:000166358500009</t>
  </si>
  <si>
    <t>Sommer, S; Wagenbach, D; Mulvaney, R; Fischer, H</t>
  </si>
  <si>
    <t>Glacio-chemical study spanning the past 2 kyr on three ice cores from Dronning Maud Land, Antarctica 2. Seasonally resolved chemical records</t>
  </si>
  <si>
    <t>NITRATE FIRN CONCENTRATIONS; SPATIAL VARIABILITY; ATMOSPHERIC CIRCULATION; SNOW CHEMISTRY; SOUTH-POLE; GREENLAND; AEROSOL; CLIMATE; AMMONIUM; SUMMIT</t>
  </si>
  <si>
    <t>The ammonium, calcium, and sodium concentrations from three intermediate depth ice cores drilled in the area of Dronning Maud Land, East Antarctica, have been investigated. Since all measurements were performed by a high-resolution Continuous Flow Analysis system, for the first time seasonal signals of chemical trace species could be obtained from the interior of central Antarctica over a period of approximately 2 millennia. Although the elevation as well as the accumulation rate differ between the drilling sites, similar values were obtained by comparing mean concentrations spanning the last 900 years. However, a distinct lack of intersite correlation was found on decadal timescales. Despite a noticeable accumulation change, apparent in one core, no significant concentration change of all three species has occurred. All the measured ions show clear seasonal signals over the whole records. While the sea-salt-related component sodium peaks simultaneously with calcium, the maximum ammonium concentration occurs in the snow with a time lag of 2 months after the sea-salt peak. More than 60% of the calcium concentration can be attributed to an ocean source. Elevated sodium concentrations were found within this millennium compared to mean values of the whole records, but the spatially varying shape of the increase suggests that a possible climatic signal is biased by local deposition effects.</t>
  </si>
  <si>
    <t>Univ Bern, Inst Phys, CH-3012 Bern, Switzerland; Alfred Wegener Inst Polar &amp; Marine Res, D-27568 Bremerhaven, Germany; British Antarctic Survey, NERC, Cambridge CB3 0ET, England; Heidelberg Univ, Inst Umweltphys, D-69120 Heidelberg, Germany</t>
  </si>
  <si>
    <t>Univ Bern, Inst Phys, Sidlerstr 5, CH-3012 Bern, Switzerland.</t>
  </si>
  <si>
    <t>sommer@climate.unibe.ch; dietmar.wagenbach@iup.uni-heidelberg.de; r.mulvaney@bas.ac.uk; hufischer@awi-bremerhaven.de</t>
  </si>
  <si>
    <t>Mulvaney, Robert/K-3929-2012; Fischer, Hubertus/A-1211-2014</t>
  </si>
  <si>
    <t>Mulvaney, Robert/0000-0002-5372-8148; Fischer, Hubertus/0000-0002-2787-4221</t>
  </si>
  <si>
    <t>2169-897X</t>
  </si>
  <si>
    <t>2169-8996</t>
  </si>
  <si>
    <t>10.1029/2000JD900450</t>
  </si>
  <si>
    <t>Green Submitted, Bronze, Green Published, Green Accepted</t>
  </si>
  <si>
    <t>WOS:000166358500010</t>
  </si>
  <si>
    <t>Armand, L; Ride, WDL; Taylor, G</t>
  </si>
  <si>
    <t>The stratigraphy and palaeontology of Teapot Creek, MacLaughlin River, NSW</t>
  </si>
  <si>
    <t>PROCEEDINGS OF THE LINNEAN SOCIETY OF NEW SOUTH WALES</t>
  </si>
  <si>
    <t>Chalk Pool; Macropodidae; Marsupial; Monaro; Pleistocene; Pliocene; Teapot Creek; Vombatidae</t>
  </si>
  <si>
    <t>NEW-SOUTH-WALES; WESTERN TASMANIA; AUSTRALIA; VEGETATION; CLIMATE</t>
  </si>
  <si>
    <t>The stratigraphy and the Quaternary depositional history of Teapot Creek, a tributary of the MacLaughlin River in the Southern Monaro, southeastern New South Wales, are given and discussed. Other fossil-mammal bearing deposits in the MacLaughlin Valley are reported. The valley of Teapot Creek contains a sequence of terraces. The highest and oldest of these is characterised by poorly sorted conglomerate deposits typical of stream-deposited longitudinal bars. Palaeomagnetic results obtained from this terrace are interpretable to the Bruhnes normal polarity interval (&lt;0.78 Ma). A second, lower terrace is set into the highest terrace. Deposition of this terrace began before 532080yr BP and is characterised by overbank deposits. The lowest and youngest terrace, consisting mostly of fine clays and silts, represents lateral accretions inside meander loops during modem flooding events. The youngest terrace contains the remains of modern introduced mammals. The intermediate terrace has yielded fossils of modern Macropus and an unidentified murid. The highest terrace contains the remains of fossil mammals found in Plio-Pleistocene fossil deposits elsewhere in Eastern Australia. Species identified from it are Macropus altus, M. ferragus, M. titan, Procoptodon goliah, P. pusio, Protemnodon anak, P. roechus/brehus, Sthenurus atlas, S. occidentalis, S. newtonae, Troposodon minor; and Phascolonus gigas, but no modern species of Macropus kangaroos or wallabies. Pleistocene fossil mammals have been located in four other sites in the valley of the MacLaughlin River. A fifth site, Chalk Pool, is sedimentologically different and at a lower level relative to the modern river than the other terraces. Species identified in the Chalk Pool deposit are regarded as Plio/Pleistocene forms (Macropus pan, Protemnodon chinchillaensis and P. roechlcs/P. brehus); of these, P. chinchillaensis is known only from the Pliocene.</t>
  </si>
  <si>
    <t>Australian Natl Univ, Dept Geol, Canberra, ACT 0200, Australia; Univ Canberra, Cooperat Res Ctr Landscape Evolut &amp; Mineral Explo, Canberra, ACT 2601, Australia</t>
  </si>
  <si>
    <t>Australian National University; University of Canberra</t>
  </si>
  <si>
    <t>Leanne.Armand@utas.edu.au</t>
  </si>
  <si>
    <t>Armand, Leanne K/C-9004-2009</t>
  </si>
  <si>
    <t>LINNEAN SOC NEW SOUTH WALES</t>
  </si>
  <si>
    <t>NEW SOUTH WALES</t>
  </si>
  <si>
    <t>PO BOX 137, MATRAVILLE, NEW SOUTH WALES, 2036, AUSTRALIA</t>
  </si>
  <si>
    <t>0370-047X</t>
  </si>
  <si>
    <t>P LINN SOC N S W</t>
  </si>
  <si>
    <t>Proc. Linn. Soc. N. S. W.</t>
  </si>
  <si>
    <t>DEC 22</t>
  </si>
  <si>
    <t>441XQ</t>
  </si>
  <si>
    <t>WOS:000169255200007</t>
  </si>
  <si>
    <t>Fluckiger, B; Chaix, L; Rossi, MJ</t>
  </si>
  <si>
    <t>Properties of the HCl/ice, HBr/ice, and H2O/ice interface at stratospheric temperatures (200 K) and its importance for atmospheric heterogeneous reactions</t>
  </si>
  <si>
    <t>JOURNAL OF PHYSICAL CHEMISTRY A</t>
  </si>
  <si>
    <t>NUCLEAR MAGNETIC-RESONANCE; (H2O)-O-16 ICE MULTILAYERS; X-RAY TOPOGRAPHY; SULFURIC-ACID; DIFFUSION-COEFFICIENTS; ANTARCTIC STRATOSPHERE; VAPOR-PRESSURES; BULK DIFFUSION; NITRIC-ACID; DOPED ICE</t>
  </si>
  <si>
    <t>The properties of the interface region of bulk, vapor-deposited, and single-crystal ice have been studied in a Knudsen cell flow reactor in the range 190-210 K using repetitive pulse experiments (RPEs) at variable frequency. Fluxes of surface-to-bulk loss in ice on single-crystal and bulk ice vary from 5 x 10(11) to 1 x 10(13) and from 5 x 10(12) to 5 x 10(14) molecule s(-1) cm(-2) for HCl and D2O, respectively. A positive activation energy for diffusional loss of E-A = 3.0 +/- 0.5 kcal/mol for HCl/ice and 5.3 +/- 0.7 kcal/mol for D2O/ice has been measured. Complementary measurements (dope and probe experiments) of the HCl/ice interface region using the titration reaction of ClONO2 + HCl --&gt; Cl-2 + HNO3 are in good agreement with the diffusional loss measurements from RPEs. These experiments allowed the evaluation of the thickness h of the interfacial region, defined as the near-surface region of the ice where HCl is immediately available for titration at a high rate. We measured h = 100 +/- 10 nm for single-crystal ice, 200 +/- 50 nm for vapor-deposited ice, and 1000 +/- 200 nm for bulk ice samples. The modeling of our results according to the laws of diffusion leads to values of the HCl diffusion coefficient D-HCl ranging from (4.0 +/- 1.0) x 10(-14) to (2.8 +/- 1.0) x 10(-12) cm(2) s(-1) for single-crystal and bulk ice, respectively.</t>
  </si>
  <si>
    <t>Swiss Fed Inst Technol, Dept Genie Rural, Lab Air Pollut Studies, CH-1015 Lausanne, Switzerland</t>
  </si>
  <si>
    <t>Swiss Federal Institutes of Technology Domain; Ecole Polytechnique Federale de Lausanne</t>
  </si>
  <si>
    <t>Rossi, MJ (corresponding author), Swiss Fed Inst Technol, Dept Genie Rural, Lab Air Pollut Studies, CH-1015 Lausanne, Switzerland.</t>
  </si>
  <si>
    <t>ROSSI, Michel J./C-7878-2013</t>
  </si>
  <si>
    <t>ROSSI, Michel J./0000-0003-3504-695X</t>
  </si>
  <si>
    <t>AMER CHEMICAL SOC</t>
  </si>
  <si>
    <t>1155 16TH ST, NW, WASHINGTON, DC 20036 USA</t>
  </si>
  <si>
    <t>1089-5639</t>
  </si>
  <si>
    <t>J PHYS CHEM A</t>
  </si>
  <si>
    <t>J. Phys. Chem. A</t>
  </si>
  <si>
    <t>DEC 21</t>
  </si>
  <si>
    <t>10.1021/jp000273g</t>
  </si>
  <si>
    <t>Chemistry, Physical; Physics, Atomic, Molecular &amp; Chemical</t>
  </si>
  <si>
    <t>Chemistry; Physics</t>
  </si>
  <si>
    <t>383EF</t>
  </si>
  <si>
    <t>WOS:000165869600010</t>
  </si>
  <si>
    <t>Masullo, M; Arcari, P; de Paola, B; Parmeggiani, A; Bocchini, V</t>
  </si>
  <si>
    <t>Psychrophilic elongation factor Tu from the Antarctic Moraxella sp Tac II 25:: Biochemical characterization and cloning of the encoding gene</t>
  </si>
  <si>
    <t>BIOCHEMISTRY</t>
  </si>
  <si>
    <t>FACTOR EF-TU; ARCHAEON SULFOLOBUS-SOLFATARICUS; THERMUS-THERMOPHILUS HB8; AMINOACYL-TRANSFER-RNA; ESCHERICHIA-COLI; FACTOR 1-ALPHA; NUCLEOTIDE-SEQUENCE; KIRROMYCIN RESISTANCE; CRYSTAL-STRUCTURE; GTPASE ACTIVITY</t>
  </si>
  <si>
    <t>The elongation factor Tu was isolated from a psychrophilic eubacterial Antarctic Moraxella strain (MoEF-Tu) and its molecular and functional properties were determined. It catalyzed the synthesis of poly(Phe) and bound specifically guanine nucleotides with an affinity for GDP about 12-fold higher than that for GTP. The affinity toward guanine nucleotides was lower than that of other eubacterial EF-Tu. The intrinsic GTPase activity of MoEF-Tu was hardly detectable but was accelerated by 2 orders of magnitude in the presence of the antibiotic kirromycin (GTPase(k)). Such a property resembled Escherichia coli EF-Tu (EcEF-Tu) even though the affinity of MoEF-Tu for the antibiotic was lower. MoEF-Tu showed a thermophilicity higher than that of EcEF-Tu; its temperature for half-denaturation was 44 degreesC. The MoEF-Tu encoding gene corresponding to E. coli tufA was cloned and sequenced. The translated protein had a calculated molecular weight of 43 288 and contained the GTP-binding sequence motifs. Concerning its primary structure, MoEF-Tu showed sequence identity with E. coli and Thermus thermophilus EF-Tu equal to 84% and 74%, respectively, while the identity with EF-1 alpha from the archaeon Sulfolobus solfataricus was equal to 32%.</t>
  </si>
  <si>
    <t>Univ Naples Federico II, Dipartimento Biochim &amp; Biotecnol Med, I-80131 Naples, Italy; Ecole Polytech, Grp Biophys, Equipe 2, F-91128 Palaiseau, France</t>
  </si>
  <si>
    <t>University of Naples Federico II; Institut Polytechnique de Paris</t>
  </si>
  <si>
    <t>Bocchini, V (corresponding author), Univ Naples Federico II, Dipartimento Biochim &amp; Biotecnol Med, Via S Pansini 5, I-80131 Naples, Italy.</t>
  </si>
  <si>
    <t>Masullo, Mariorosario/H-4884-2016</t>
  </si>
  <si>
    <t>Masullo, Mariorosario/0000-0003-4485-7383</t>
  </si>
  <si>
    <t>0006-2960</t>
  </si>
  <si>
    <t>BIOCHEMISTRY-US</t>
  </si>
  <si>
    <t>Biochemistry</t>
  </si>
  <si>
    <t>DEC 19</t>
  </si>
  <si>
    <t>10.1021/bi0018133</t>
  </si>
  <si>
    <t>383GV</t>
  </si>
  <si>
    <t>WOS:000165875500026</t>
  </si>
  <si>
    <t>van den Broek, MMP; Bregman, A; Lelieveld, J</t>
  </si>
  <si>
    <t>Model study of stratospheric chlorine activation and ozone loss during the 1996/1997 winter</t>
  </si>
  <si>
    <t>ARRAY ETALON SPECTROMETER; ARCTIC POLAR VORTEX; SULFURIC-ACID; HETEROGENEOUS CHEMISTRY; MLS OBSERVATIONS; ANTARCTIC OZONE; REACTIVE UPTAKE; CLOUD FORMATION; MARCH 1997; DEPLETION</t>
  </si>
  <si>
    <t>Chlorine activation and ozone depletion in the Arctic winter stratosphere of 1996-1997 have been studied with a newly developed stratospheric chemistry-transport model (CTM). The chemistry scheme, using a Euler Backward Iterative approximation method, includes a comprehensive set of reactions on ternary aerosol and ice particles, which has been tested against a numerically exact solver. Tracer transports in the CTM are calculated from European Centre for Medium-Range Weather Forecasts (ECMWF) meteorological analyses. Comparisons have been made with O-3 and ClO measurements, and with ozone loss rates derived from observations during February and March 1997. ClO production and ozone depletion are somewhat underestimated by the model. Furthermore, uncertainties regarding the aerosol phase are tested. Assuming nitric acid trihydrate (NAT particles to form at their melting point, while liquid aerosol is present simultaneously in the model, gives rise to the largest ClO production and the strongest ozone depletion. By correcting for an ECMWF temperature warm bias we obtain a similar large effect on calculated ClO production and ozone depletion for the 1996/1997 Arctic winter, whereas uncertainties in the chlorine abundance seem less important. An average warm bias of 1.3 K at polar stratospheric cloud temperatures on the 50 hPa model level reduces the calculated ozone depletion rates over February and March by 35%. Observations of ClO are reproduced when lower temperatures and maximum Cl-y abundance are assumed, but ozone depletion is slightly overestimated in that case.</t>
  </si>
  <si>
    <t>Space Res Org Netherlands, NL-3584 CA Utrecht, Netherlands; Inst Marine &amp; Atmospher Res, NL-3584 CC Utrecht, Netherlands</t>
  </si>
  <si>
    <t>Bregman, A (corresponding author), Space Res Org Netherlands, Sorbonnelaan 2, NL-3584 CA Utrecht, Netherlands.</t>
  </si>
  <si>
    <t>Lelieveld, Johannes (Jos)/A-1986-2013</t>
  </si>
  <si>
    <t>Lelieveld, Johannes (Jos)/0000-0001-6307-3846</t>
  </si>
  <si>
    <t>DEC 16</t>
  </si>
  <si>
    <t>D23</t>
  </si>
  <si>
    <t>10.1029/2000JD900294</t>
  </si>
  <si>
    <t>389UQ</t>
  </si>
  <si>
    <t>WOS:000166257400007</t>
  </si>
  <si>
    <t>Sowers, T; Jubenville, J</t>
  </si>
  <si>
    <t>A modified extraction technique for liberating occluded gases from ice cores</t>
  </si>
  <si>
    <t>LAST GLACIAL PERIOD; POLAR ICE; ANTARCTIC ICE; GREENLAND ICE; ATMOSPHERIC METHANE; CLIMATIC PARAMETERS; CO2 MEASUREMENTS; TRAPPED GASES; AIR CONTENT; FIRN</t>
  </si>
  <si>
    <t>We have developed a new dry extraction technique to extract air from large pieces of glacial ice. The primary reason for developing this technique was to be able to perform a single extraction and measure a single sample of air from an ice core sample for as many atmospheric constituents as possible. The procedure is modeled after the dry extraction -cheese grater design of Etheridge et al. [1988]. Extracted air samples are analyzed for the elemental and isotopic composition of O-2 and N-2 as well as the CH4 concentration. Extensive experimental work to determine the integrity of the extraction procedure yielded blank values and external precision which are comparable with existing extraction procedures. Overall external precision for delta (O2)/N-2, delta O-18 of O-2, and delta N-15 of NZ analyses is +/-2.1 parts per thousand, +/-0.074 parts per thousand, and +/-0.045 parts per thousand, respectively. Variable delta N-O2/(2) results from ice which is either completely bubbly or clathrated are in good agreement with previous measurements. Variable delta (O2)/N-2 results from Greenland Ice Sheet Project (GISP) II ice samples spanning the clathrate formation region (1000-1500 m) are markedly different from previous results obtained with a wet extraction procedure, We attribute the differences to variable (O2)/N-2 ratios in bubbles and clathrates in the clathrate formation region combined with a 21% difference in our extraction efficiency for bubbly versus clathrated ice. The overall uncertainty and blank value for CH4 measurements are +/-19 ppb and 16 ppb, respectively. CH4 concentrations for ice between 115 and 140 meters below the surface (mbs) from the GISP II ice core appear to be 4.3% higher than the average value measured by five other laboratories. We attribute our elevated values to uncertainties in the actual concentration of our working standard and small differences in the CH4 concentration of the liberated air relative to the total air trapped in ice. Our corrected CH4 data spanning the last 25 kyr are indistinguishable from the Brook ef al, [1996] CH4 record from the same period.</t>
  </si>
  <si>
    <t>Penn State Univ, Dept Geosci, University Pk, PA 16802 USA; Penn State Univ, Inst Environm,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</si>
  <si>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</si>
  <si>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Sowers, T (corresponding author), Penn State Univ, Dept Geosci, 447 Deike Bldg, University Pk, PA 16802 USA.</t>
  </si>
  <si>
    <t>sowers@geosc.psu.edu</t>
  </si>
  <si>
    <t>10.1029/2000JD900335</t>
  </si>
  <si>
    <t>WOS:000166257400020</t>
  </si>
  <si>
    <t>Weatherwax, AT; Rosenberg, TJ; Lanzerotti, LJ; Maclennan, CG; Frey, HU; Mende, SB</t>
  </si>
  <si>
    <t>The distention of the magnetosphere on May 11, 1999: High latitude Antarctic observations and comparisons with low latitude magnetic and geopotential data</t>
  </si>
  <si>
    <t>POLAR</t>
  </si>
  <si>
    <t>We examine the Earth's ionospheric response on May 11, 1999, to an unusually tenuous solar wind, focusing on magnetometer, riometer, and optical data from high geomagnetic latitudes in Antarctica. Comparisons are also made with POLAR satellite data during a perigee pass over Antarctica, and with geomagnetic data collected at low latitudes. It is shown that the southern hemisphere was geophysically active, even though the K-p index on May 11 ranged only from 0 to 0+. Furthermore, despite the fact that the IMF and solar wind conditions favored northern hemisphere polar rain, low energy electron precipitation did occur in the southern polar cap. Geomagnetic power levels at low, cusp, and polar cap latitudes were also lower on May 11 than on surrounding days. Although this might be expected, discrete millihertz peaks in ULF power were still evident, especially at cusp latitudes.</t>
  </si>
  <si>
    <t>Univ Maryland, IPST, College Pk, MD 20742 USA; Lucent Technol, Bell Labs, Murray Hill, NJ 07974 USA; Univ Calif Berkeley, Space Sci Lab, Berkeley, CA 94720 USA</t>
  </si>
  <si>
    <t>University System of Maryland; University of Maryland College Park; AT&amp;T; Alcatel-Lucent; Lucent Technologies; University of California System; University of California Berkeley</t>
  </si>
  <si>
    <t>Weatherwax, AT (corresponding author), Univ Maryland, IPST, College Pk, MD 20742 USA.</t>
  </si>
  <si>
    <t>Frey, Harald/0000-0001-8955-3282; Weatherwax, Allan/0000-0003-4732-358X</t>
  </si>
  <si>
    <t>DEC 15</t>
  </si>
  <si>
    <t>10.1029/2000GL000090</t>
  </si>
  <si>
    <t>390TB</t>
  </si>
  <si>
    <t>WOS:000166311700017</t>
  </si>
  <si>
    <t>Brèon, FM; Colzy, S</t>
  </si>
  <si>
    <t>Global distribution of cloud droplet effective radius from POLDER polarization measurements</t>
  </si>
  <si>
    <t>RADIATION</t>
  </si>
  <si>
    <t>Polarization measurements from the spaceborne POLDER instrument are used to estimate the droplet effective radius of liquid-phase clouds. Eight months of measurements have been processed. Seasonal averages have been generated and are discussed here. The measurements confirm that, on average, droplets are 2 to 3 mum smaller over land than over the oceans. The smaller droplets are found over highly polluted regions and in areas affected by smoke from biomass burning activity. The influence of land masses is apparent downwind of the continents. Largest droplets are found in remote tropical oceans, away from major aerosol sources. A large zonal gradient is also apparent in the southern oceans, with very small droplets close to the Antarctic continent.</t>
  </si>
  <si>
    <t>CEA, DSM, LSCE, Lab Sci Climat &amp; Environm, F-91191 Gif Sur Yvette, France</t>
  </si>
  <si>
    <t>CEA; Centre National de la Recherche Scientifique (CNRS); Universite Paris Saclay</t>
  </si>
  <si>
    <t>Brèon, FM (corresponding author), CEA, DSM, LSCE, Lab Sci Climat &amp; Environm, F-91191 Gif Sur Yvette, France.</t>
  </si>
  <si>
    <t>Breon, Francois-Marie A/M-4639-2016</t>
  </si>
  <si>
    <t>10.1029/2000GL011691</t>
  </si>
  <si>
    <t>WOS:000166311700026</t>
  </si>
  <si>
    <t>Mata, MM; Tomczak, M; Wijffels, S; Church, JA</t>
  </si>
  <si>
    <t>East Australian Current volume transports at 30°S:: Estimates from the World Ocean Circulation Experiment hydrographic sections PR11/P6 and the PCM3 current meter array</t>
  </si>
  <si>
    <t>JOURNAL OF GEOPHYSICAL RESEARCH-OCEANS</t>
  </si>
  <si>
    <t>TASMAN-SEA; WIND STRESS; VARIABILITY; BOUNDARY; BASIN; VORTICITY; BUDGETS; MODEL; CYCLE; MASS</t>
  </si>
  <si>
    <t>Between September 1991 and March 1994 the oceanic region off the east coast of Australia at 30 degreesS was the subject of an intense observational program Part of the World Ocean Circulation Experiment, the objective was to improve our understanding of the dynamics of the East Australian Current (EAC) and to measure its volume and energy flux. The two main components were the Pacific Current Meter Array 3 (PCM3) with six moorings spanning a total distance of 120 km, and repeat, high-resolution hydrographic surveys. The long-term average from PCM3 shows the EAC as a narrow, swift, and highly variable current centered at 40 km from the coast with strong shear in the upper 1000 m and mean southward velocities of 0.6 m s(-1) in the core. The measurements also revealed a thick countercurrent underneath the poleward flow. The mean volume transport for the entire section covered by the array (between the coast and 154.4 degreesE) was 22.1+/-4.6 Sv toward the south with an rms variability of 30 Sv. Combining the data from the PCM3 array with the hydrographic sections generated nine detailed snapshots of the absolute geostrophic current field. The snapshots were used to evaluate the reliability of the PCM3 data for determining volume transports. The rms difference between transports derived from direct current observations and from hydrographic data was 3.8 Sv, indicating that the PCM3 array can be used to describe the current variability despite the sparse spatial distribution of velocity measurements. Transport variability was dominated by periods between 90 and 140 days, which are attributed to eddy shedding in the region. Occasional intense northward flow events were observed where total transports reached up to 50 Sv northward. On those occasions the southward boundary current changed from being surface intensified and mainly baroclinic to northward and more barotropic, related to the northward migration past the array of the EAC coastal separation point.</t>
  </si>
  <si>
    <t>Flinders Univ S Australia, Flinders Inst Marine &amp; Atmospher Sci, Adelaide, SA, Australia; CSIRO Marine Res, Hobart, Tas, Australia; Antarctic CRC, Hobart, Tas, Australia</t>
  </si>
  <si>
    <t>Flinders University South Australia; Commonwealth Scientific &amp; Industrial Research Organisation (CSIRO)</t>
  </si>
  <si>
    <t>Fnd Univ Fed Rio Grande, Dept Fis, Rio Grande, Rio Grande Sul, Brazil.</t>
  </si>
  <si>
    <t>mmata@es.flinders.edu.au</t>
  </si>
  <si>
    <t>Church, John A/A-1541-2012; Wijffels, Susan E/I-8215-2012; Mata, Mauricio/H-4605-2011</t>
  </si>
  <si>
    <t>Church, John A/0000-0002-7037-8194; Mata, Mauricio/0000-0002-9028-8284; Wijffels, Susan/0000-0002-4717-0811; Tomczak, Matthias/0000-0002-8416-5851</t>
  </si>
  <si>
    <t>2169-9275</t>
  </si>
  <si>
    <t>2169-9291</t>
  </si>
  <si>
    <t>J GEOPHYS RES-OCEANS</t>
  </si>
  <si>
    <t>J. Geophys. Res.-Oceans</t>
  </si>
  <si>
    <t>C12</t>
  </si>
  <si>
    <t>10.1029/1999JC000121</t>
  </si>
  <si>
    <t>388XR</t>
  </si>
  <si>
    <t>WOS:000166208800001</t>
  </si>
  <si>
    <t>Lytle, VI; Massom, R; Bindoff, N; Worby, A; Allison, I</t>
  </si>
  <si>
    <t>Wintertime heat flux to the underside of east Antarctic pack ice</t>
  </si>
  <si>
    <t>SEA-ICE; WEDDELL-SEA; THICKNESS DISTRIBUTION; NUMERICAL-MODEL; TURBULENT HEAT; UPPER OCEAN; SNOW COVER; LAYER</t>
  </si>
  <si>
    <t>In the sea ice zone, there is a delicate balance between the heat loss from the surface of the snow-covered sea ice and the heat supplied to the underside of the ice by the deep ocean. The difference between these two heat fluxes determines the amount of ice growth or melt. In global atmospheric models the ocean heat flux is often prescribed and has been shown to be an important parameter in determining how thick sea ice will grow thermodynamically. Although this ocean heat flux is a critical component in climate models, there are relatively few direct measurements in the Antarctic sea ice region. In this study we use measurements of the temperature gradient through the sea ice and of ice growth during a field experiment to estimate the ocean heat flux in the East Antarctic region around 140 degreesE, 65 degreesS during August 1995. We find an average ocean heat flux of 13.0-14.5 W m(-2). This is more than twice the winter values reported in the western Weddell Sea under multiyear sea ice but similar to the 19 W m(-2) that has been estimated for the entire Weddell Gyre. During August 1995 the air temperature showed large variations, ranging from near freezing to -30 degreesC. This resulted in the thicker ice flees (50-60 cm) alternating between a no-growth or melting condition and an active ice growth at the base. However, it is likely that the thicker (&gt;60 cm), ridged portions of the flees were continually melting.</t>
  </si>
  <si>
    <t>Univ Tasmania, Antarctic CRC, Hobart, Tas 7001, Australia; Univ Tasmania, Australian Antarctic Div, Hobart, Tas 7001, Australia</t>
  </si>
  <si>
    <t>University of Tasmania; Australian Antarctic Division; University of Tasmania</t>
  </si>
  <si>
    <t>Univ Tasmania, Antarctic CRC, GPO Box 252-80, Hobart, Tas 7001, Australia.</t>
  </si>
  <si>
    <t>v.lytle@utas.edu.au</t>
  </si>
  <si>
    <t>Allison, Ian F/I-4477-2015; Bindoff, Nathaniel Lee/C-8050-2011; Bindoff, Nathaniel Lee/IVV-0333-2023; Worby, Anthony P/A-2373-2012</t>
  </si>
  <si>
    <t>Allison, Ian F/0000-0001-9599-0251; Bindoff, Nathaniel Lee/0000-0001-5662-9519; Bindoff, Nathaniel Lee/0000-0001-5662-9519; Massom, Robert/0000-0003-1533-5084</t>
  </si>
  <si>
    <t>10.1029/2000JC900099</t>
  </si>
  <si>
    <t>WOS:000166208800016</t>
  </si>
  <si>
    <t>Park, CK; Doh, SJ; Suk, DW; Kim, KH</t>
  </si>
  <si>
    <t>Sedimentary fabric on deep-sea sediments from KODOS area in the eastern Pacific</t>
  </si>
  <si>
    <t>MARINE GEOLOGY</t>
  </si>
  <si>
    <t>paleomagnetic fabric; hiatus; bottom current</t>
  </si>
  <si>
    <t>An anisotropy of magnetic susceptibility (AMS) study on three sediment cores taken from the Korea Deep Ocean Study (KODOS) area in eastern Pacific was carried out to understand the relationship between magnetic fabric patterns and paleodepositional conditions of deep-sea sediments. Most AMS measurements reveal normal sedimentary fabric patterns indicating a stable sedimentation mode. However, some intervals show deformed AMS patterns (magnetic lineation), and this anomalous fabric is mainly observed at the boundary where sediment color changes. The abrupt change of AMS parameters at this boundary provides evidence that the linear fabric was induced by input of intensified bottom currents. Based on the trend of microfossil occurrences, it is interpreted that the discontinuous color boundary was formed by hiatus between Tertiary and Quaternary age. The change of magnetic fabric at the topmost color boundary coincides with the time of prevailed antarctic bottom water (AABW) activity. In this study, the AMS properties are shown to be useful tools for making inferences concerning the paleoenvironment of abyssal basins. (C) 2000 Elsevier Science B.V. All rights reserved.</t>
  </si>
  <si>
    <t>Korea Ocean Res &amp; Dev Inst, Deep Sea Resources Res Ctr, Ansan 425600, South Korea; Korea Univ, Dept Earth &amp; Environm Sci, Seongbuk Ku, Seoul 136701, South Korea; Hanyang Univ, Dept Earth &amp; Marine Sci, Ansan 425791, South Korea</t>
  </si>
  <si>
    <t>Korea Institute of Ocean Science &amp; Technology (KIOST); Korea University; Hanyang University</t>
  </si>
  <si>
    <t>Park, CK (corresponding author), Korea Ocean Res &amp; Dev Inst, Deep Sea Resources Res Ctr, POB 29, Ansan 425600, South Korea.</t>
  </si>
  <si>
    <t>0025-3227</t>
  </si>
  <si>
    <t>MAR GEOL</t>
  </si>
  <si>
    <t>Mar. Geol.</t>
  </si>
  <si>
    <t>10.1016/S0025-3227(00)00107-9</t>
  </si>
  <si>
    <t>Geosciences, Multidisciplinary; Oceanography</t>
  </si>
  <si>
    <t>Geology; Oceanography</t>
  </si>
  <si>
    <t>386YW</t>
  </si>
  <si>
    <t>WOS:000166094200008</t>
  </si>
  <si>
    <t>King, EC</t>
  </si>
  <si>
    <t>The crustal structure and sedimentation of the Weddell Sea embayment: implications for Gondwana reconstructions</t>
  </si>
  <si>
    <t>TECTONOPHYSICS</t>
  </si>
  <si>
    <t>Antarctica; rifting; continental margin; sedimentation</t>
  </si>
  <si>
    <t>WEST ANTARCTICA; CONTINENTAL-MARGIN; TECTONICS; BREAKUP; ATLANTIC; LAND; MAGMATISM; PENINSULA; ANOMALIES; PROVINCE</t>
  </si>
  <si>
    <t>The Weddell Sea embayment is central to reconstructions of the West Antarctic region of Gondwana. Some reconstructions represent this area as a pre-break-up component, the Filchner block, defined by the present 2000 m isobath and coastline but take no account of crustal extension and sedimentary progradation of the continental margin since break-up. Seismic refraction shows a wide, deep sedimentary basin beneath the central part of the embayment, indicating extensive rifting and stretching of continental crust during the break-up of Gondwana. This may have increased the width of the block by about 300 km. Potential field data suggest extensive progradation of sediments on the Weddell Sea continental margin. This may have moved the margin seaward between 200 and 400 km. Taken together, these modifications in the dimensions of the pre-break-up Filchner block represent between one half and one third the area of the present Weddell Sea embayment. The presence of extensive rifting is indicative that hot, thin crust was present during break-up providing further evidence that several closely spaced mantle plumes (or a single 'megaplume') impinged on the Weddell Sea sector of Gondwana in the early Jurassic. The lithospheric stretching in the embayment provided a mechanism for the rotation of the Ellsworth Mountains region during the early stages of Gondwana break-up commensurate with the paleomagnetic data. (C) 2000 Elsevier Science B.V. All rights reserved.</t>
  </si>
  <si>
    <t>British Antarctic Survey, Div Phys Sci, Cambridge CB3 0ET, England</t>
  </si>
  <si>
    <t>King, EC (corresponding author), British Antarctic Survey, Div Phys Sci, High Cross,Madingley Rd, Cambridge CB3 0ET, England.</t>
  </si>
  <si>
    <t>0040-1951</t>
  </si>
  <si>
    <t>Tectonophysics</t>
  </si>
  <si>
    <t>10.1016/S0040-1951(00)00169-4</t>
  </si>
  <si>
    <t>389XU</t>
  </si>
  <si>
    <t>WOS:000166264600003</t>
  </si>
  <si>
    <t>Wessel, P; Kroenke, LW</t>
  </si>
  <si>
    <t>Ontong Java Plateau and late Neogene changes in Pacific plate motion</t>
  </si>
  <si>
    <t>JOURNAL OF GEOPHYSICAL RESEARCH-SOLID EARTH</t>
  </si>
  <si>
    <t>BACK-ARC EXTENSION; TRANSFORM-FAULT; LOUISVILLE HOTSPOT; RELATIVE MOTIONS; NORTH-AMERICA; SEAMARC II; BOUNDARY REORGANIZATION; ALKALINE MAGMATISM; TECTONIC EVOLUTION; CRUSTAL STRUCTURE</t>
  </si>
  <si>
    <t>Aided by a new geometrical technique called hot spotting, we recently proposed a new model for the absolute motion of the Pacific plate. This model, called WK97, assumed the Hawaiian hotspot is under Loihi and that there was a change in plate motion at 3-6 Ma. The model located the Louisville hotspot close to the Hollister Ridge, a shallow volcanic ridge associated with a geoid high, seismicity, and recent volcanism. Most of the tectonic implications of WK97, however, were not addressed. Furthermore, although several recent studies suggest that the geochemistry of Hollister lavas may indicate a mixture between Louisville melt material and Pacific-Antarctic Ridge mid-ocean ridge basalt, these studies strongly disagree with WK97 and consider it seriously flawed. Here we discuss numerous tectonic predictions of WK97 and present a large amount of observational evidence in support of it. We find that a late Neogene collision between the Ontong Java Plateau and the northern margin of the Australia plate appears to have altered the motion of the Pacific plate, as inferred from hotspot volcanism, by forcing it to rotate counterclockwise. This rotation, about a low latitude pole, appears to have induced right-lateral sheer stress along the entire Pacific plate divergent boundary, which resulted in the formation of extensional transform faults, microplates, and propagating ridges. This change in motion also appears to have triggered concomitant circum-Pacific tectonism, including trench migration and back are rifting. The WK97 suggests that long-lived, plume-fed volcanism on the Pacific plate appears very limited, perhaps only to five to six hotspots: Hawaii, Louisville, Cobb, Caroline, and perhaps Marquesas and Bowie; the geometry of these chains are consistent with our model. Despite some evidence for volcanic age progressions, most other Pacific Neogene hotspots are most likely crack spots, i.e., sites of extensional volcanism at preexisting zones of weakness reactivated by plate stresses. Indeed, several volcanic ridges, such as Hollister Ridge near the Louisville hotspot, appear to have formed in response to stresses following the change in absolute plate motion. WK97 also obviates the need for simultaneous, different directions of mantle flow in the south central Pacific. Transpression at the San Andreas and Alpine strike-slip faults and Aleutian Are explosivity since 6 Ma also appear to be consequences of the changes in Pacific plate motion. Furthermore, both the WK97 model and observed relative plate motions suggest that adjoining plates have changed their absolute motions as well and that large changes in absolute plate motion do not necessarily imply large changes in relative plate motion. Our findings support slab purl as the dominant plate tectonic driving force, highlight the rheological difference between strong oceanic lithosphere and weak continental crust, and suggest that WK97 presently provides a unifying, albeit preliminary, framework for relating both intraplate and circum-Pacific tectonism and volcanism in the late Neogene.</t>
  </si>
  <si>
    <t>Univ Hawaii Manoa, Sch Ocean &amp; Earth Sci &amp; Technol, Honolulu, HI 96822 USA</t>
  </si>
  <si>
    <t>Univ Hawaii Manoa, Sch Ocean &amp; Earth Sci &amp; Technol, 1680 East West Rd, Honolulu, HI 96822 USA.</t>
  </si>
  <si>
    <t>pwessel@hawaii.edu</t>
  </si>
  <si>
    <t>2169-9313</t>
  </si>
  <si>
    <t>2169-9356</t>
  </si>
  <si>
    <t>J GEOPHYS RES-SOL EA</t>
  </si>
  <si>
    <t>J. Geophys. Res.-Solid Earth</t>
  </si>
  <si>
    <t>DEC 10</t>
  </si>
  <si>
    <t>B12</t>
  </si>
  <si>
    <t>10.1029/2000JB900290</t>
  </si>
  <si>
    <t>387HQ</t>
  </si>
  <si>
    <t>WOS:000166117500027</t>
  </si>
  <si>
    <t>Bouin, MN; Vigny, C</t>
  </si>
  <si>
    <t>New constraints on Antarctic plate motion and deformation from GPS data</t>
  </si>
  <si>
    <t>LARSEN ICE SHELF; SHEET; COLLAPSE; REGION; MODEL</t>
  </si>
  <si>
    <t>Four years (1995-1998) of continuous Global Positioning System (GPS) data recorded by 11 permanent International GPS Service (IGS) stations in Antarctica and surrounding regions have been processed using an optimized method for regional geodetic networks. The 4-year time series has allowed us to extract nonlinear variations and constant horizontal velocities for all the stations. In December 1997 we have set up a permanent GPS station at Dumont d'Urville in Terre Adelie. The resulting data, along with those of the Scientific Committee on Antarctic Research (SCAR) campaigns (1995 and 1996) are included in our processing. A coseismic displacement (1 to 2 cm) is detected in the horizontal components of this station. We relate this to the March 25, 1998, M-w=8.1 Balleny Islands earthquake for which a dislocation model yields prediction in the right direction. For the six Antarctic stations the horizontal rates are very consistent with the rigid plate rotation, all the residual velocities are negligible (less than a mm/yr), except at O'Higgins in the head of the peninsula (7 mm/yr toward the continent). The position of the rotation pole (62.0 degreesN, 146.7 degreesW) and its rate (0.264 degrees /Ma) are significantly different from the NNR-Nuvel-1A predictions for the Antarctic tectonic plate but are consistent with the Australian relative motion. The high horizontal residual in the peninsula area, where iceberg calving rates and ice shelf disintegration have recently increased, call be interpreted as the horizontal component of the elastic crustal response to the load variations.</t>
  </si>
  <si>
    <t>Ecole Natl Sci Geog, Lab Rech Geodesie, F-77455 Marne La Vallee 2, France; Ecole Normale Super, Geol Lab, CNRS, UMR 8538, F-75231 Paris 05, France</t>
  </si>
  <si>
    <t>Universite Gustave-Eiffel; Centre National de la Recherche Scientifique (CNRS); CNRS - National Institute for Earth Sciences &amp; Astronomy (INSU); Universite PSL; Ecole Normale Superieure (ENS)</t>
  </si>
  <si>
    <t>Bouin, MN (corresponding author), Ecole Natl Sci Geog, Lab Rech Geodesie, Cite Descartes, F-77455 Marne La Vallee 2, France.</t>
  </si>
  <si>
    <t>bouin@ensg.ign.fr</t>
  </si>
  <si>
    <t>Bouin, Marie-Noelle/P-9236-2015; Bouin, Marie-Noelle/AAV-1680-2021</t>
  </si>
  <si>
    <t>Bouin, Marie-Noelle/0000-0002-0437-6561</t>
  </si>
  <si>
    <t>10.1029/2000JB900285</t>
  </si>
  <si>
    <t>WOS:000166117500028</t>
  </si>
  <si>
    <t>Arnott, MA; Michael, RA; Thompson, CR; Hough, DW; Danson, MJ</t>
  </si>
  <si>
    <t>Thermostability and thermoactivity of citrate synthases from the thermophilic and hyperthermophilic archaea, Thermoplasma acidophilum and Pyrococcus furiosus</t>
  </si>
  <si>
    <t>JOURNAL OF MOLECULAR BIOLOGY</t>
  </si>
  <si>
    <t>protein thermostability; mutagenesis; ion-pair networks; thermoactivity</t>
  </si>
  <si>
    <t>BACTERIUM THERMOTOGA-MARITIMA; 1.9 ANGSTROM RESOLUTION; CRYSTAL-STRUCTURE; GLUTAMATE-DEHYDROGENASE; SULFOLOBUS-SOLFATARICUS; SALT BRIDGES; D-GLYCERALDEHYDE-3-PHOSPHATE DEHYDROGENASE; 3-ISOPROPYLMALATE DEHYDROGENASE; ENZYME THERMOSTABILITY; ANTARCTIC BACTERIUM</t>
  </si>
  <si>
    <t>Citrate synthases from Thermoplasma acidophilum (optimal growth at 55 degreesC) and Pyrococcus furiosus (100 degreesC) are homo-dimeric enzymes that show a high degree of structural homology with each other, and thermostabilities commensurate with the environmental temperatures in which their host cells are found. A comparison of their atomic structures with citrate synthases from mesophilic and psychrophilic organisms has indicated the potential importance of inter-subunit contacts for thermostability, and here we report the construction and analysis of site-directed mutants of the two citrate synthases to investigate Be contribution of these interactions. Three sets of mutants were made: (a) chimeric mutants where the large (inter-subunit contact) and small (catalytic) domains of the T. acidophilum and P. furiosus enzymes were swapped; (b) mutants of the P. furiosus citrate synthase where the inter-subunit ionic network is disrupted; and (c) P. furiosus citrate synthase mutants in which the C-terminal arms that wrap around their partner subunits have been deleted. All three sets of mutant enzymes were expressed as recombinant proteins in Escherichia coli and were found to be catalytically active. Kinetic parameters and the dependence of catalytic activity on temperature were determined, and the stability of each enzyme was analysed by irreversible thermal inactivation experiments. The chimeric mutants indicate that the thermostability of the whole enzyme is largely determined by the origin of the large, inter-subunit domain, whereas the dependence of catalytic activity on temperature is a function of the small domain. Disruption of the inter-subunit ionic network and prevention of the C-terminal interactions both generated enzymes that were substantially less thermostable. Taken together, these data demonstrate the crucial importance of the subunit contacts to the stability of these oligomeric enzymes. Additionally, they also provide a clear distinction between thermostability and thermoactivity, showing that stability is necessary for, but does not guarantee, catalytic activity at elevated temperatures. (C) 2000 Academic Press.</t>
  </si>
  <si>
    <t>M.J.Danson@bath.ac.uk</t>
  </si>
  <si>
    <t>0022-2836</t>
  </si>
  <si>
    <t>J MOL BIOL</t>
  </si>
  <si>
    <t>J. Mol. Biol.</t>
  </si>
  <si>
    <t>DEC 8</t>
  </si>
  <si>
    <t>10.1006/jmbi.2000.4240</t>
  </si>
  <si>
    <t>383HU</t>
  </si>
  <si>
    <t>WOS:000165877700013</t>
  </si>
  <si>
    <t>Plowright, RK</t>
  </si>
  <si>
    <t>Crevasse fall in the Antarctic: a patient's perspective</t>
  </si>
  <si>
    <t>MEDICAL JOURNAL OF AUSTRALIA</t>
  </si>
  <si>
    <t>As a veterinarian working on an Adelie penguin research program, I was to spend six months on an island off the coast of Mawson Station in the Australian Antarctic Territory. During a field training exercise on my third day at Mawson, I fell into a crevasse with my four-wheel-drive quad bike and was crushed between the bike and the crevasse wall six metres below the rim. I had hypothermia and abdominal injuries, and underwent two emergency surgical procedures at Mawson Station. Sixteen days after the accident, I was evacuated by helicopter and ship. Here, I describe my experiences.</t>
  </si>
  <si>
    <t>Plowright, RK (corresponding author), POB 241, Wentworth Falls, NSW 2782, Australia.</t>
  </si>
  <si>
    <t>AUSTRALASIAN MED PUBL CO LTD</t>
  </si>
  <si>
    <t>SYDNEY</t>
  </si>
  <si>
    <t>LEVEL 1, 76 BERRY ST, SYDNEY, NSW 2060, AUSTRALIA</t>
  </si>
  <si>
    <t>0025-729X</t>
  </si>
  <si>
    <t>MED J AUSTRALIA</t>
  </si>
  <si>
    <t>Med. J. Aust.</t>
  </si>
  <si>
    <t>DEC 4</t>
  </si>
  <si>
    <t>10.5694/j.1326-5377.2000.tb139347.x</t>
  </si>
  <si>
    <t>Medicine, General &amp; Internal</t>
  </si>
  <si>
    <t>General &amp; Internal Medicine</t>
  </si>
  <si>
    <t>383LC</t>
  </si>
  <si>
    <t>WOS:000165883100005</t>
  </si>
  <si>
    <t>Cheng, CHC</t>
  </si>
  <si>
    <t>Antifreeze glycoprotein genes in temperate water notothenioid fish infer an Antarctic origin of speciation.</t>
  </si>
  <si>
    <t>AMERICAN ZOOLOGIST</t>
  </si>
  <si>
    <t>Univ Illinois, Urbana, IL 61801 USA</t>
  </si>
  <si>
    <t>University of Illinois System; University of Illinois Urbana-Champaign</t>
  </si>
  <si>
    <t>AMER SOC ZOOLOGISTS</t>
  </si>
  <si>
    <t>LAWRENCE</t>
  </si>
  <si>
    <t>1041 NEW HAMPSHIRE ST, LAWRENCE, KS 66044 USA</t>
  </si>
  <si>
    <t>0003-1569</t>
  </si>
  <si>
    <t>AM ZOOL</t>
  </si>
  <si>
    <t>Am. Zool.</t>
  </si>
  <si>
    <t>DEC</t>
  </si>
  <si>
    <t>422RA</t>
  </si>
  <si>
    <t>WOS:000168132000133</t>
  </si>
  <si>
    <t>Devries, AL; Cheng, CHC</t>
  </si>
  <si>
    <t>Freezing avoidance strategies differ in Antarctic and Arctic fishes.</t>
  </si>
  <si>
    <t>Univ Illinois, Chicago, IL 60680 USA</t>
  </si>
  <si>
    <t>University of Illinois System; University of Illinois Chicago; University of Illinois Chicago Hospital</t>
  </si>
  <si>
    <t>WOS:000168132000194</t>
  </si>
  <si>
    <t>Grove, TJ; Sidell, BD</t>
  </si>
  <si>
    <t>Signature motif and fatty acid selectivity of fatty acyl CoA synthetase in Antarctic fishes.</t>
  </si>
  <si>
    <t>Univ Maine, Orono, ME USA</t>
  </si>
  <si>
    <t>University of Maine System; University of Maine Orono</t>
  </si>
  <si>
    <t>WOS:000168132000295</t>
  </si>
  <si>
    <t>Hubbard, JM</t>
  </si>
  <si>
    <t>Bringing active science to classroom and community with Antarctic chemical ecology research.</t>
  </si>
  <si>
    <t>Natl Sci Fdn, Anchorage Sch, TEA, Anchorage, AK 99503 USA</t>
  </si>
  <si>
    <t>National Science Foundation (NSF)</t>
  </si>
  <si>
    <t>WOS:000168132000374</t>
  </si>
  <si>
    <t>Kiss, AJ; Cheng, CHC</t>
  </si>
  <si>
    <t>Gamma crystallins of Antarctic notothenioid fishes.</t>
  </si>
  <si>
    <t>Kiss, Andor J/E-9863-2016</t>
  </si>
  <si>
    <t>Kiss, Andor J/0000-0002-7508-0485</t>
  </si>
  <si>
    <t>WOS:000168132000423</t>
  </si>
  <si>
    <t>Mahon, AR; Amsler, CD; McClintock, JB; Baker, BJ</t>
  </si>
  <si>
    <t>Chemo-tactile predator avoidance responses of the Antarctic limpet, Nacella concinna.</t>
  </si>
  <si>
    <t>Univ Alabama, Birmingham, AL USA; Florida Inst Technol, Melbourne, FL 32901 USA</t>
  </si>
  <si>
    <t>University of Alabama System; University of Alabama Birmingham; Florida Institute of Technology</t>
  </si>
  <si>
    <t>Baker, Bill/N-4312-2019</t>
  </si>
  <si>
    <t>WOS:000168132000492</t>
  </si>
  <si>
    <t>Pesavento, JJ; Near, TJ; Cheng, CHC</t>
  </si>
  <si>
    <t>The phylogenentic investigations of the Perciformes (Actinopterygii) and the origin of the Antarctic Notothenioidei: inferences for mitochondrial and nuclear DNA sequences.</t>
  </si>
  <si>
    <t>Univ Illinois, Urbana, IL 61801 USA; Univ Calif Davis, Davis, CA 95616 USA</t>
  </si>
  <si>
    <t>University of Illinois System; University of Illinois Urbana-Champaign; University of California System; University of California Davis</t>
  </si>
  <si>
    <t>WOS:000168132000628</t>
  </si>
  <si>
    <t>Soto, NE; Marshall, C; Cheng, CHC</t>
  </si>
  <si>
    <t>The trypsinogen-like protease ancestor of the antarctic notothenioid antifreeze glycogen is a novel serine protease.</t>
  </si>
  <si>
    <t>Univ Illinois, Urbana, IL 61801 USA; Univ Otago, Dunedin, New Zealand</t>
  </si>
  <si>
    <t>University of Illinois System; University of Illinois Urbana-Champaign; University of Otago</t>
  </si>
  <si>
    <t>Marshall, Craig J./C-6668-2009</t>
  </si>
  <si>
    <t>Marshall, Craig J./0000-0003-4186-0368</t>
  </si>
  <si>
    <t>WOS:000168132000749</t>
  </si>
  <si>
    <t>Stoddard, ST; Jin, Y; Cheng, CH; DeVries, AL</t>
  </si>
  <si>
    <t>Antifreeze potentiating protein in Antarctic notothenioid fishes.</t>
  </si>
  <si>
    <t>WOS:000168132000768</t>
  </si>
  <si>
    <t>Trinachartvanit, W; Devries, AL; Cheng, CHC</t>
  </si>
  <si>
    <t>Antifreeze glycoproteins (AFGPs) are secreted into the digestive tract from the pancreas in Antarctic notothenioid fishes.</t>
  </si>
  <si>
    <t>WOS:000168132000803</t>
  </si>
  <si>
    <t>Walton, DWH</t>
  </si>
  <si>
    <t>What is the state of the Antarctic environment?</t>
  </si>
  <si>
    <t>ANTARCTIC SCIENCE</t>
  </si>
  <si>
    <t>40 WEST 20TH STREET, NEW YORK, NY 10011-4211 USA</t>
  </si>
  <si>
    <t>0954-1020</t>
  </si>
  <si>
    <t>ANTARCT SCI</t>
  </si>
  <si>
    <t>Antarct. Sci.</t>
  </si>
  <si>
    <t>Environmental Sciences; Geography, Physical; Geosciences, Multidisciplinary</t>
  </si>
  <si>
    <t>Environmental Sciences &amp; Ecology; Physical Geography; Geology</t>
  </si>
  <si>
    <t>384YN</t>
  </si>
  <si>
    <t>WOS:000165975000001</t>
  </si>
  <si>
    <t>Berrow, SD; Croxall, JP; Grant, SD</t>
  </si>
  <si>
    <t>Status of white-chinned petrels Procellaria aequinoctialis Linnaeus 1758, at Bird Island, South Georgia</t>
  </si>
  <si>
    <t>breeding frequency; breeding success; habitat; status; white-chinned petrel</t>
  </si>
  <si>
    <t>SEABIRDS</t>
  </si>
  <si>
    <t>The white-chinned petrel (Procellaria aequinoctialis) is an abundant, widespread petrel breeding in tussock grassland at sub-Antarctic islands. Over the last decade it has been killed in large numbers in temperate and sub-tropical longline fisheries. However no data are available on the global population status. We assessed the status of white-chinned petrels at Bird Island, South Georgia by comparing the distribution and density of occupied burrows in 1981 and 1998. In both surveys white-chinned petrel burrows occurred in one-quarter of the 460-477 36-m(2) quadrats surveyed. The total number of burrows in each quadrat was consistent between each survey but we estimate an overall decrease of 28% in those occupied (with considerable variation between sites). Concurrent data on breeding frequency and success showed that white-chinned petrels are essentially annual breeders at Bird Island; breeding success was consistent at around 44%. Significant factors determining densities of occupied burrows were crown height and percent tussock cover (accounting for 77% of variance). The former has decreased significantly, the latter increased significantly between 1981 and 1998 but there was no relationship between white-chinned petrel occupancy rate and habitat modification due to the presence of fur seals (Arctocephalus gazella). This suggests that any population decline is due to factors operating away from the breeding colony, such as those attributed to fishing.</t>
  </si>
  <si>
    <t>Berrow, SD (corresponding author), Shannon Dophin &amp; Wildlife Fdn, Merchants Quay, Kilrush, Co Clare, Ireland.</t>
  </si>
  <si>
    <t>WOS:000165975000002</t>
  </si>
  <si>
    <t>Convey, P; Smith, RIL; Peat, HJ; Pugh, PJA</t>
  </si>
  <si>
    <t>The terrestrial biota of Charcot Island, eastern Bellingshausen Sea, Antarctica: an example of extreme isolation</t>
  </si>
  <si>
    <t>bryophytes; Charcot Island; geographical isolation; lichens; soil meiofauna and microarthropods</t>
  </si>
  <si>
    <t>ARTHROPOD FAUNA; SOUTHERN-OCEAN; CONSERVATION; ACARI; IMPACTS; AREA</t>
  </si>
  <si>
    <t>This paper documents the previously undescribed terrestrial fauna (mites, nematodes, tardigrades) and flora (liverworts, mosses and lichens) of Marion Nunataks, Charcot Island (69 degrees 45'S 075 degrees 15'W). Species diversity in all groups is low relative to other Maritime Antarctic sites, probably a twin function of very limited ice-free terrain and extreme isolation. The fauna and flora are wholly immigrant and, with the exceptions of two lichens (Psilolechia lucida and Umbilicaria aff. thamnodes), clearly derived from the Maritime Antarctic. The fauna is unique for the Maritime Antarctic in that it appears to contain neither predatory arthropods nor Collembola (springtails), which are otherwise ubiquitous and important members of the terrestrial fauna of the zone. The flora includes exceptional development of three mosses that are encountered only rarely at latitudes south of c. 65 degreesS, Brachythecium austrosalebrosum, Dicranoweisia crispula and Polytrichum piliferum. The southern limit for several mosses and lichens has been extended. This small and isolated site is extremely vulnerable to accidental human-mediated introduction of both native Antarctic and alien biota.</t>
  </si>
  <si>
    <t>Convey, Peter/AAV-5728-2020; Peat, Helen J/E-9666-2015</t>
  </si>
  <si>
    <t>Convey, Peter/0000-0001-8497-9903; Peat, Helen/0000-0003-2017-8597</t>
  </si>
  <si>
    <t>1365-2079</t>
  </si>
  <si>
    <t>WOS:000165975000003</t>
  </si>
  <si>
    <t>Marchant, H; Davidson, A; Wright, S; Glazebrook, J</t>
  </si>
  <si>
    <t>The distribution and abundance of viruses in the Southern Ocean during spring</t>
  </si>
  <si>
    <t>Antarctic; bacteria; marine; microbial loop; virus</t>
  </si>
  <si>
    <t>MARINE-BACTERIA; PARTICLES; PHYTOPLANKTON; ENVIRONMENTS; INFECTION; MORTALITY; GROWTH; SEA</t>
  </si>
  <si>
    <t>The concentrations of viruses, bacteria, chroococcoid cyanobacteria and chlorophyll a were determined in surface waters of the Southern Ocean during spring. Viral concentrations declined southward from around 4 x 10(6) ml(-1) near Tasmania to a minimum of around 1 x 10(6) ml(-1) at the Polar Front. South of the Front, virus concentrations increased again, reaching around 4 x 10(6) ml(-1) in the sea-ice zone south of 60 degreesS. Bacterial concentration decreased southwards across the Southern Ocean from around 6.5 x 10(5) ml(-1) near Tasmania to &lt; 1.0 x 10(5) ml(-1) in the sea-ice zone. Cyanobacteria accounted for &lt; 8% of the prokaryotes. There was no significant relationship between viral abundance and either cyanobacterial or chi a concentration. Viral and bacterial concentrations were not significantly correlated north (P {0.10 &lt; r &lt; 0.20}) or south (P {0.20 &lt; r &lt; 0.5}) of the Polar Front. The virus to bacteria ratio (VBR) was between 3 and 15 in the open ocean but varied between 15 and 40 in the sea-ice region. These virus concentrations and VBRs indicate that viruses are no less important in Southern Ocean ecosystems than elsewhere in the world's oceans.</t>
  </si>
  <si>
    <t>Australian Antarctic Div, Kingston, Tas 7050, Australia; James Cook Univ N Queensland, Sch Biomed &amp; Mol Sci, Townsville, Qld 4811, Australia</t>
  </si>
  <si>
    <t>Australian Antarctic Division; James Cook University</t>
  </si>
  <si>
    <t>Marchant, H (corresponding author), Australian Antarctic Div, Channel Highway, Kingston, Tas 7050, Australia.</t>
  </si>
  <si>
    <t>harvey.marchant@antdiv.gov.au</t>
  </si>
  <si>
    <t>WOS:000165975000004</t>
  </si>
  <si>
    <t>Raymond, JA; Fritsen, CH</t>
  </si>
  <si>
    <t>Ice-active substances associated with Antarctic freshwater and terrestrial photosynthetic organisms</t>
  </si>
  <si>
    <t>cyanobacteria; ice-active substances; mosses; Prasiola</t>
  </si>
  <si>
    <t>ALGA PRASIOLA-CRISPA; FREEZING TOLERANCE; NOSTOC-COMMUNE; DESICCATION; PROTEINS; CYANOBACTERIA; RELEASE; WINTER; GROWTH; GENES</t>
  </si>
  <si>
    <t>Macromolecular substances that cause pitting and other modifications of growing ice crystals were found to be associated with cyanobacterial mats, eukaryotic algae and mosses from Ross Island and the McMurdo Dry Valleys, Antarctica. ice-pitting activities were largely retained by dialysis membranes with molecular weight cut-offs of up to 300 kDa. Unlike most aqueous solutes, the ice-active molecules were not excluded from the ice phase during freezing. The ice-pitting activities of each of the samples tested was destroyed by exposure to temperatures between 45 and 65 degreesC, suggesting that they have a protein component. Ice-active substances were not found in cyanobacteria or mosses from temperate climates, but ice-activity was found to be associated with mosses from cold habitats in North America. Although the function of the ice-active substances is not known, their apparent confinement to cold environments suggests that they have a cryoprotective role.</t>
  </si>
  <si>
    <t>Univ Nevada, Dept Biol Sci, Las Vegas, NV 89154 USA; Desert Res Inst, Div Earth &amp; Ecosyst Sci, Reno, NV 89512 USA</t>
  </si>
  <si>
    <t>Nevada System of Higher Education (NSHE); University of Nevada Las Vegas; Nevada System of Higher Education (NSHE); Desert Research Institute NSHE</t>
  </si>
  <si>
    <t>Raymond, JA (corresponding author), Univ Nevada, Dept Biol Sci, Las Vegas, NV 89154 USA.</t>
  </si>
  <si>
    <t>WOS:000165975000005</t>
  </si>
  <si>
    <t>Cerrano, C; Bavestrello, G; Calcinai, B; Cattaneo-Vietti, R; Sarà, A</t>
  </si>
  <si>
    <t>Asteroids eating sponges from Tethys Bay, East Antarctica</t>
  </si>
  <si>
    <t>Univ Genoa, Dipartimento Studio Terr &amp; Risorse, I-16132 Genoa, Italy; Univ Ancona, Ist Sci Mare, I-60181 Ancona, Italy</t>
  </si>
  <si>
    <t>University of Genoa; Marche Polytechnic University</t>
  </si>
  <si>
    <t>Cerrano, C (corresponding author), Univ Genoa, Dipartimento Studio Terr &amp; Risorse, Corso Europa 26, I-16132 Genoa, Italy.</t>
  </si>
  <si>
    <t>Cerrano, Carlo/AAF-3557-2019; Bavestrello, Giorgio/JXN-5230-2024</t>
  </si>
  <si>
    <t>Cerrano, Carlo/0000-0001-9580-5546; Bavestrello, Giorgio/0000-0002-5428-2344</t>
  </si>
  <si>
    <t>WOS:000165975000006</t>
  </si>
  <si>
    <t>Gosztonyi, AE; Lopez-Arbarello, A</t>
  </si>
  <si>
    <t>Sexual dimorphism in Patagonotothen sima (Richardson, 1844)</t>
  </si>
  <si>
    <t>Humboldt Univ, Inst Palaontol, Museum Naturkunde, D-10115 Berlin, Germany; Ctr Nacl Patagon, RA-9120 Puerto Madryn, Argentina</t>
  </si>
  <si>
    <t>Humboldt University of Berlin; Leibniz Institut fur Evolutions und Biodiversitatsforschung; Centro Nacional Patagonico (CENPAT)</t>
  </si>
  <si>
    <t>Lopez-Arbarello, A (corresponding author), Humboldt Univ, Inst Palaontol, Museum Naturkunde, Invalidenstr 43, D-10115 Berlin, Germany.</t>
  </si>
  <si>
    <t>adriana.lopez.arbarello@rz.hu-berlin.de</t>
  </si>
  <si>
    <t>López-Arbarello, Adriana/N-1834-2018</t>
  </si>
  <si>
    <t>López-Arbarello, Adriana/0000-0002-2924-3319</t>
  </si>
  <si>
    <t>WOS:000165975000007</t>
  </si>
  <si>
    <t>Carson, CJ; Boger, SD; Fanning, CM; Wilson, CJL; Thost, DE</t>
  </si>
  <si>
    <t>SHRIMP U-Pb geochronology from Mount Kirkby, northern Prince Charles Mountains, East Antarctica</t>
  </si>
  <si>
    <t>early Palaeozoic; early Neoproterozoic; East Antarctica; northern Prince Charles Mountains; SHRIMP</t>
  </si>
  <si>
    <t>PRYDZ-BAY; GRANULITE; ZIRCON; BELT; TEMPERATURE; LEUCOGNEISS; MASSIF; SHIELD; GROWTH; ROCKS</t>
  </si>
  <si>
    <t>Sensitive High Resolution ion MicroProbe (SHRIMP) U-Pb zircon dating of pegmatites from Mount Kirkby, northern Prince Charles Mountains, east Antarctica indicates felsic intrusive activity at 991 +/- 22 Ma and 910 +/- 18 Ma. Pegmatite emplacement occurred during prolonged high-grade early Neoproterozoic tectonism. These ages correlate well with previously published U-Pb zircon ages obtained from felsic intrusive bodies elsewhere within the northern Prince Charles Mountains. Early Palaeozoic activity at Mount Kirkby is restricted to the emplacement of minor planar pegmatites at 517 +/- 12 Ma, which provide a maximum age for local development of discrete extensional mylonites. No conclusive evidence of tectonic or metamorphic events at c. 800 Ma and c. 500 Ma, which have been recently postulated for the region, can be identified from the presently available U-Pb zircon data.</t>
  </si>
  <si>
    <t>Yale Univ, Dept Geol &amp; Geophys, New Haven, CT 06511 USA; Univ Melbourne, Sch Earth Sci, Parkville, Vic 3052, Australia; Australian Natl Univ, Res Sch Earth Sci, Canberra, ACT 0200, Australia; Australian Antarctic Div, Kingston, Tas 7050, Australia</t>
  </si>
  <si>
    <t>Yale University; University of Melbourne; Australian National University; Australian Antarctic Division</t>
  </si>
  <si>
    <t>Carson, CJ (corresponding author), Yale Univ, Dept Geol &amp; Geophys, POB 6666, New Haven, CT 06511 USA.</t>
  </si>
  <si>
    <t>Boger, Steven/B-8799-2013; Carson, Christopher J./M-8795-2014; Fanning, Christopher Mark/I-6449-2016</t>
  </si>
  <si>
    <t>Carson, Christopher J./0000-0002-2575-6125; Fanning, Christopher Mark/0000-0003-3331-3145; Boger, Steven/0000-0003-0739-6266</t>
  </si>
  <si>
    <t>WOS:000165975000008</t>
  </si>
  <si>
    <t>Harwood, DM; McMinn, A; Quilty, PG</t>
  </si>
  <si>
    <t>Diatom biostratigraphy and age of the Pliocene Sorsdal Formation, Vestfold Hills, East Antarctica</t>
  </si>
  <si>
    <t>Antarctica; biostratigraphy; marine diatoms; palaeoclimate; Pliocene; Sorsdal Formation; Vestfold Hills</t>
  </si>
  <si>
    <t>ICE-SHEET; SURFACE SEDIMENTS; SOUTHERN-OCEAN; SIRIUS GROUP; MARINE-SEDIMENTS; SEA TEMPERATURES; GLACIAL HISTORY; LARSEMANN HILLS; PRYDZ BAY; NEOGENE</t>
  </si>
  <si>
    <t>Fossil marine diatom assemblages from the Sorsdal Formation, a deposit of diatomaceous sand from Marine Plain in the Vestfold Hills, protide age and palaeoenvironmental information from a Pliocene coastal setting in East Antarctica. Benthic and meroplanktic diatom taxa suggest deposition in a shallow coastal embayment with water depths of 20-25 m. Diatom biostratigraphy indicates that the Sorsdal Formation belongs to the Fragilariopsis barronii Zone (4.5 to 4.1 Ma), through correlation to reference sections in the Ross Sea and Southern Ocean. Features of the other biota suggest higher sea-surface temperatures and reduced sea-ice cover, consistent with global records of higher sea level.</t>
  </si>
  <si>
    <t>Univ Nebraska, Dept Geosci, Lincoln, NE 68588 USA; Univ Tasmania, Inst Antarctic &amp; So Ocean Studies, Hobart, Tas 7001, Australia; Univ Tasmania, Antarctic Cooperat Res Ctr, Hobart, Tas 7001, Australia; Univ Tasmania, Sch Earth Sci, Hobart, Tas 7001, Australia</t>
  </si>
  <si>
    <t>University of Nebraska System; University of Nebraska Lincoln; University of Tasmania; University of Tasmania; University of Tasmania</t>
  </si>
  <si>
    <t>Univ Nebraska, Dept Geosci, Lincoln, NE 68588 USA.</t>
  </si>
  <si>
    <t>dharwood1@unl.edu</t>
  </si>
  <si>
    <t>WOS:000165975000009</t>
  </si>
  <si>
    <t>Kristoffersen, Y; Strand, K; Vorren, T; Harwood, D; Webb, P</t>
  </si>
  <si>
    <t>Pilot shallow drilling on the continental shelf, Dronning Maud Land, Antarctica</t>
  </si>
  <si>
    <t>Antarctica; glacial sediments; grounding line positions; Mid-Weichselian; shallow drilling</t>
  </si>
  <si>
    <t>CLAY MINERAL ASSEMBLAGES; EAST ANTARCTICA; WEDDELL SEA; ICE STREAM; MARGIN; SHEET</t>
  </si>
  <si>
    <t>A light, mining drill rig deployed from the stern of a research vessel has been used to carry out shallow drilling in 212 m water depth on the continental shelf in the eastern Weddell Sea. Penetration was 15 m below the seabed with 18% recovery in the 31 hours available for the experiment. The recovered glacigenic sediments are predominantly volcanic material of basaltic and andesitic composition with petrological characteristics and age similar to the continental flood basalts exposed in Vestfjella, about 130 km upstream from the drill site. The sediments include a reworked marine Miocene diatom flora. The material documents oscillations of the East Antarctic Ice Sheet over the past 30 ka. The lowermost diamicton probably represents a deformation till, and the grounding line retreated past the drill site 30 km from the shelf edge about 30 kyr BP. A readvance occurred during the Late Wisconsin Glacial Maximum. Assuming a reservoir correction of 1300 yr, marine conditions existed at the site between 10.1-7 kyr BP, and later at least between 2.8 and 2.5 kyr BP. The stratigraphy at the site has been disturbed by iceberg ploughing and/or contact between the ice shelf and the sea floor during local advances after 2.5 kyr BP.</t>
  </si>
  <si>
    <t>Univ Bergen, Inst Solid Earth Phys, N-5007 Bergen, Norway; Univ Oulu, Thule Inst, Oulu, Finland; Univ Tromso, Dept Geol, N-9037 Tromso, Norway; Univ Nebraska, Dept Geol, Lincoln, NE 68588 USA; Ohio State Univ, Byrd Polar Res Ctr, Columbus, OH 43210 USA</t>
  </si>
  <si>
    <t>University of Bergen; University of Oulu; UiT The Arctic University of Tromso; University of Nebraska System; University of Nebraska Lincoln; University System of Ohio; Ohio State University</t>
  </si>
  <si>
    <t>Kristoffersen, Y (corresponding author), Univ Bergen, Inst Solid Earth Phys, N-5007 Bergen, Norway.</t>
  </si>
  <si>
    <t>WOS:000165975000010</t>
  </si>
  <si>
    <t>Siegmund, M; Hall, K</t>
  </si>
  <si>
    <t>A study of valley-side slope asymmetry based on the application of GIS analysis: Alexander Island, Antarctica</t>
  </si>
  <si>
    <t>Alexander Island; Antarctica; DEM; GIS; valley-slope asymmetry</t>
  </si>
  <si>
    <t>ROCK TEMPERATURES; REGION</t>
  </si>
  <si>
    <t>Geographic Information System (GIS) data from southern Alexander Island were used to evaluate valley asymmetry from an area where ground observations had suggested that south facing slopes were steeper than north facing. Using digital elevation modelling (DEM), data were collected from 2 degrees and 10 degrees arcs centred on the four cardinal directions in order to determine average slope angles for a whole nunatak area (Mars Oasis). It was found that south facing slopes were significantly steeper (34 degrees) than the north facing (28 degrees); east and west facing slopes were each 31 degrees. Bedrock in this area is (approximately) horizontally bedded and so valley asymmetry is considered to be due to aspect-influenced periglacial weathering processes.</t>
  </si>
  <si>
    <t>Univ No British Columbia, Geog Programme, Prince George, BC V2N 4Z9, Canada</t>
  </si>
  <si>
    <t>University of Northern British Columbia</t>
  </si>
  <si>
    <t>Siegmund, M (corresponding author), Univ No British Columbia, Geog Programme, 3333 Univ Way, Prince George, BC V2N 4Z9, Canada.</t>
  </si>
  <si>
    <t>WOS:000165975000011</t>
  </si>
  <si>
    <t>Wilch, TI; McIntosh, WC</t>
  </si>
  <si>
    <t>Eocene and Oligocene volcanism at Mount Petras, Marie Byrd Land: implications for middle Cenozoic ice sheet reconstructions in West Antarctica</t>
  </si>
  <si>
    <t>40Ar/39Ar geochronology; Antarctica; glacial history; Marie Byrd Land; Surtseyan; volcaniclastic lithofacies; West Antarctic ice sheet</t>
  </si>
  <si>
    <t>VICTORIA LAND; CHEJU ISLAND; NEW-ZEALAND; ROCKS; EVOLUTION; ERUPTIONS; DEPOSITS; EROSION; BASIN; SEA</t>
  </si>
  <si>
    <t>Evidence for one late Eocene and four middle Oligocene eruptions of Mount Petras, Marie Byrd Land provides new insights into reconstructions of middle Tertiary ice sheet configurations, surface topography, and volcanism in West Antarctica. The interpretation presented here of the volcanic record at Mount Petras, based on detailed analyses of lithofacies, petrography, 40Ar/39Ar geochronology, and geochemistry, is significantly different from previous interpretations based on reconnaissance studies. A massive, 25 m thick, mugearite lava near the summit of Mount Petras is 40Ar/39Ar dated to 36.11 +/- 0.22 Ma (2 sigma uncertainty), indicating an onset of Cenozoic alkaline volcanism in the Marie Byrd Land Volcanic Province in latest Eocene time. Middle Oligocene (29-27 Ma) hawaiite volcaniclastic lithofacies at Mount Petras are interpreted as products of mixed magmatic (Strombolian style) and phreatomagmatic (Surtseyan style) subaerial eruptions. The four hawaiite outcrop areas exhibit characteristics of near-vent tuff cone environments. The near-vent deposits are located at different elevations and positions on Mount Petras and suggest four separate cruptive centres, with eruptions dated to between 28.59 +/- 0.22 Ma and 27.18 +/- 0.23 Ma. The mixed Surtseyan and Strombolian eruptions imply local or intermittent contact with external water, which we infer was derived from melting of a thin, local ice cap or ice and snow on slopes. The 29-27 Ma volcanic deposits at Mount Petras provide the oldest terrestrial evidence for glacial ice in Marie Byrd Land. The 29-27 Ma tuff cone deposits overlie an erosional unconformity, with &gt; 400 m of topographic relief. The relatively high relief pre-volcanic environment is suggestive of ongoing erosion and is inconsistent with previous interpretations of a regional, low relief, early Cenozoic West Antarctic Erosion Surface.</t>
  </si>
  <si>
    <t>Albion Coll, Dept Geol Sci, Albion, MI 49224 USA; New Mexico Inst Min &amp; Technol, Dept Earth &amp; Environm Sci, Socorro, NM 87801 USA</t>
  </si>
  <si>
    <t>Albion College; New Mexico Institute of Mining Technology</t>
  </si>
  <si>
    <t>Albion Coll, Dept Geol Sci, Albion, MI 49224 USA.</t>
  </si>
  <si>
    <t>WOS:000165975000012</t>
  </si>
  <si>
    <t>Budillon, G; Spezie, G</t>
  </si>
  <si>
    <t>Thermohaline structure and variability in the Terra Nova Bay polynya, Ross Sea</t>
  </si>
  <si>
    <t>air-sea fluxes; melting rate; polynya; Terra Nova Bay; thermohaline variability</t>
  </si>
  <si>
    <t>ICE; TEMPERATURE; BEHAVIOR; FRONT; OCEAN; WIND</t>
  </si>
  <si>
    <t>Hydrological measurements from three cruises during the summers 1994/95, 1995/96 and 1997/98 in the western sector of the Ross Sea allow summer and year to year changes in heat and salt content in the Terra Nova Bay polynya to be analysed. Changes in the surface layer (upper pycnocline) followed the expected seasonal pattern of warming and freshening from the beginning to the end of the summer. These near-surface changes, expressed as net heating and salting rate, were about 11 W m(-2) and -6 mg salt m(-2) s(-1). The heating changes were substantially lower than the estimated heat supplied by the atmosphere during the summer, which underlines the importance for this season of the advective component carried by the currents in the total heat budget. The year to year differences were about one or two orders of magnitude smaller than the seasonal changes in the surface layer. In the intermediate and deep layers, the summer heat and salt variability were of the same order as or one order higher than from one summer to the nest. The differences in sign and magnitude for the heat change in the upper and in the lower pycnocline indicate a weak connection in the summer period between the surface heat fluxes and the deep waters. A local source of very cold water (with temperatures below the surface freezing point) of about 0.3 Sv has been detected close to the Terra Nova Bay coast. It arose out of the interaction of the shallow-intermediate layers of High Salinity Shelf Water with the coastal glaciers. The presence and the variability of this cold water point to the significant role of the thermohaline properties of Terra Nova Bay waters in controlling the floating glacier by governing the basal melting processes.</t>
  </si>
  <si>
    <t>Ist Univ Navale, Ist Meteorol &amp; Oceanog, I-80133 Naples, Italy</t>
  </si>
  <si>
    <t>University of Naples Federico II</t>
  </si>
  <si>
    <t>Budillon, G (corresponding author), Ist Univ Navale, Ist Meteorol &amp; Oceanog, Via Acton 38, I-80133 Naples, Italy.</t>
  </si>
  <si>
    <t>WOS:000165975000013</t>
  </si>
  <si>
    <t>Li, Q; McGowran, B; White, MR</t>
  </si>
  <si>
    <t>Sequences and biofacies packages in the mid-Cenozoic Gambier Limestone, South Australia: reappraisal of foraminiferal evidence</t>
  </si>
  <si>
    <t>AUSTRALIAN JOURNAL OF EARTH SCIENCES</t>
  </si>
  <si>
    <t>biostratigraphy; Eocene; foraminifers; Gambier Basin; Miocene; Oligocene; Otway Basin; sequence stratigraphy</t>
  </si>
  <si>
    <t>MARSHALL PARACONFORMITY; LATE EOCENE; COOL-WATER; SEA-LEVEL; OCEAN; MIDLATITUDE; MARGIN; BIOSTRATIGRAPHY; TRANSECT; IMPACT</t>
  </si>
  <si>
    <t>The mid to outer neritic carbonates of the Gambier Limestone (Upper Eocene to lower Middle Miocene) can be divided into seven units by using criteria of sequence stratigraphy and foraminiferal biofacies. The boundaries fall mainly on erosional surfaces, even though the temporal duration of these surfaces appears to be largely beyond the resolution of foraminiferal biostratigraphy. The Eocene/Oligocene contact is distinctively unconformable in several sections, with at least part of the Upper Eocene sediments missing. Chert nodules, common to abundant in most sections, are associated with deep- or cool-water benthic assemblages (&gt; 100-200 m and &lt; 15 degreesC), indicating cool, nutrient-rich bottom conditions probably influenced by the Antarctic Circumpolar Current beginning during the Early Oligocene. The mid-Oligocene fall in sea-level was probably coupled with a major local uplift that removed at least part of the Lower Oligocene, an event widely recorded in the Australian-New Zealand region. In areas weakly affected, this glacioeustatic lowstand is represented by chert-free limestone and grey to pink dolomites in some sections, with a poorly preserved assemblage comprising few planktonic and deep-water benthic species. Local unconformities separate regional unconformity-bounded or allostratigraphic packages of strata to represent third-order sequences. Although variations in local subsidence might have influenced accumulation space and sediment thickness, glacioeustatic influence on the packaging of the sequences and units of the Gambier Limestone was easily the more effective and concordant with the global patterns.</t>
  </si>
  <si>
    <t>Univ Adelaide, Dept Geol &amp; Geophys, Adelaide, SA 5005, Australia; Primary Ind &amp; Resources S Australia, Adelaide, SA 5000, Australia</t>
  </si>
  <si>
    <t>University of Adelaide</t>
  </si>
  <si>
    <t>Li, Q (corresponding author), Univ Adelaide, Dept Geol &amp; Geophys, Adelaide, SA 5005, Australia.</t>
  </si>
  <si>
    <t>BLACKWELL SCIENCE ASIA</t>
  </si>
  <si>
    <t>CARLTON</t>
  </si>
  <si>
    <t>54 UNIVERSITY ST, P O BOX 378, CARLTON, VICTORIA 3053, AUSTRALIA</t>
  </si>
  <si>
    <t>0812-0099</t>
  </si>
  <si>
    <t>AUST J EARTH SCI</t>
  </si>
  <si>
    <t>Aust. J. Earth Sci.</t>
  </si>
  <si>
    <t>10.1046/j.1440-0952.2000.00824.x</t>
  </si>
  <si>
    <t>384HQ</t>
  </si>
  <si>
    <t>WOS:000165937100001</t>
  </si>
  <si>
    <t>Pickard, AL; Adams, CJ; Barley, ME</t>
  </si>
  <si>
    <t>Australian provenance for Upper Permian to Cretaceous rocks forming accretionary complexes on the New Zealand sector of the Gondwanaland margin</t>
  </si>
  <si>
    <t>New England Orogen; provenance; suspect terrane; Torlesse terrane; Waipapa terrane; zircon dating</t>
  </si>
  <si>
    <t>U-PB ZIRCON; MEDIAN TECTONIC ZONE; NORTH-ISLAND; TORLESSE TERRANE; PACIFIC MARGIN; SOUTH ISLAND; DELAMERIAN OROGENY; CONTINENTAL-MARGIN; FOSSIL LOCALITIES; DETRITAL ZIRCONS</t>
  </si>
  <si>
    <t>U-Pb (SHRIMP) detrital zircon age patterns are reported for 12 samples of Permian to Cretaceous turbiditic quartzo-feldspathic sandstone from the Torlesse and Waipapa suspect terranes of New Zealand. Their major Permian to Triassic, and minor Early Palaeozoic and Mesoproterozoic, age components indicate that most sediment was probably derived from the Carboniferous to Triassic New England Orogen in northeastern Australia. Rapid deposition of voluminous Torlesse/Waipapa turbidite fans during the Late Permian to Late Triassic appears to have been directly linked to uplift and exhumation of the magmatically active orogen during the 265-230 Ma Hunter-Bowen event. This period of cordilleran-type orogeny allowed transport of large volumes of quartzo-feldspathic sediment across the convergent Gondwanaland margin. Post-Triassic depocentres also received (recycled?) sediment from the relict orogen as well as from Jurassic and Cretaceous volcanic provinces now offshore from southern Queensland and northern New South Wales. The detailed provenance-age fingerprints provided by the detrital zircon data are also consistent with progressive southward derivation of sediment: from northeastern Queensland during the Permian, southeastern Queensland during the Triassic, and northeastern New South Wales - Lord Howe Rise - Norfolk Ridge during the Jurassic to Cretaceous. Although the dextral sense of displacement is consistent with the tectonic regime during this period, detailed characterisation of source terranes at this scale is hindered by the scarcity of published zircon age data for igneous and sedimentary rocks in Queensland and northern New South Wales. Mesoproterozoic and Neoproterozoic age components cannot be adequately matched with likely source terranes in the Australian-Antarctic Precambrian craton, and it is possible they originated in the Proterozoic cores of the Cathaysia and Yangtze Blocks of southeast China.</t>
  </si>
  <si>
    <t>Univ Western Australia, Dept Geol &amp; Geophys, Nedlands, WA 6907, Australia; Inst Geol &amp; Nucl Sci, Lower Hutt, New Zealand</t>
  </si>
  <si>
    <t>University of Western Australia; GNS Science - New Zealand</t>
  </si>
  <si>
    <t>Univ Western Australia, Dept Geol &amp; Geophys, Nedlands, WA 6907, Australia.</t>
  </si>
  <si>
    <t>Barley, Mark E/A-3803-2008</t>
  </si>
  <si>
    <t>1440-0952</t>
  </si>
  <si>
    <t>10.1046/j.1440-0952.2000.00826.x</t>
  </si>
  <si>
    <t>WOS:000165937100003</t>
  </si>
  <si>
    <t>Watkins, AB</t>
  </si>
  <si>
    <t>Seasonal climate summary southern hemisphere (spring 1999): a transition toward a second successive cool episode (La Nina)</t>
  </si>
  <si>
    <t>AUSTRALIAN METEOROLOGICAL MAGAZINE</t>
  </si>
  <si>
    <t>EL-NINO; PACIFIC BASIN; OSCILLATION; ENSO; ICE; TELECONNECTIONS; SENSITIVITY; EVENT; PACK</t>
  </si>
  <si>
    <t>Atmospheric and oceanic conditions in the southern hemisphere are reviewed for the 1999 austral spring season. Particular emphasis is given to the Australian and Pacific regions. The pattern in both the oceanic and atmospheric indicators was one of a returning La Nina phase. This transition commenced after only one season of neutral conditions, following from the previous 1998/1999 La Nina event. Most notable changes in the oceans occurred during the final month of the season, with the Pacific equatorial subsurface cooling vigorously. Likewise, rainfall and maximum and minimum temperatures over Australia displayed rapid change towards conditions commonly associated with a La Nina phase in the Pacific. In particular, November brought above normal rainfall to most of the Australian continent, as well as the lowest November all-Australian maximum temperature observed in the 1950 to the present data record. Over the Antarctic, the spring time ozone hole failed to reach the record size it achieved in 1998, however it still peaked in area at over 22 million square kilometres.</t>
  </si>
  <si>
    <t>Bur Meteorol, Natl Climate Ctr, Melbourne, Vic 3001, Australia</t>
  </si>
  <si>
    <t>Bureau of Meteorology - Australia</t>
  </si>
  <si>
    <t>Watkins, AB (corresponding author), Bur Meteorol, Natl Climate Ctr, GPO Box 1289K, Melbourne, Vic 3001, Australia.</t>
  </si>
  <si>
    <t>AUSTRALIAN GOVT PUBL SERV</t>
  </si>
  <si>
    <t>CANBERRA</t>
  </si>
  <si>
    <t>PO BOX 84, CANBERRA, 2601, AUSTRALIA</t>
  </si>
  <si>
    <t>0004-9743</t>
  </si>
  <si>
    <t>AUST METEOROL MAG</t>
  </si>
  <si>
    <t>Aust. Meteorol. Mag.</t>
  </si>
  <si>
    <t>390YG</t>
  </si>
  <si>
    <t>WOS:000166326900004</t>
  </si>
  <si>
    <t>Nel, DC; Nel, JL; Ryan, PG; Klages, NTW; Wilson, RP; Robertson, G</t>
  </si>
  <si>
    <t>Foraging ecology of grey-headed mollymawks at Marion Island, southern Indian Ocean, in relation to longline fishing activity</t>
  </si>
  <si>
    <t>BIOLOGICAL CONSERVATION</t>
  </si>
  <si>
    <t>grey-headed mollymawks; foraging ecology; tracking; longline fishing; incidental mortality</t>
  </si>
  <si>
    <t>ALBATROSS DIOMEDEA-CHRYSOSTOMA; WANDERING ALBATROSS; POPULATION-DYNAMICS; SEABIRD MORTALITY; BIRD-ISLAND; EXULANS; GEORGIA; FISHERY; ENVIRONMENT; MELANOPHRIS</t>
  </si>
  <si>
    <t>Incidental mortality due to longline fishing has been implicated as the main cause for the global population decline in grey-headed mollymawks (Thalassarche chrysostoma). Two of these fisheries, within the potential foraging range of grey-headed mollymawks breeding on Marion Island, have increased drastically over the past 5-10 years. In order to understand the impacts of these fisheries on the grey-headed mollymawk population breeding on Marion Island, we studied their foraging ecology by tracking their foraging trips and sampling their diets. During the incubation stage, birds made long foraging trips, mostly towards the subtropical convergence and sub-Antarctic zones, bringing them into contact with areas of intense southern blue-fin tuna (Thunnus maccoyii) longline fishing. Females spent a higher proportion of their time within these areas than males, thus exposing themselves to a higher risk of incidental mortality from this fishery. During the early chick-rearing stage, foraging trips were shorter and to the southwest of the island in the Polar frontal and Antarctic zones, thus avoiding any contact with the southern blue-fin tuna industry. However, short foraging trips (&lt; 2 days) were made within the boundary of known Patagonian toothfish (Dissostichus eleginoides) longline sets around Marion Island. Males made a higher proportion of short foraging trips and spent more time within the boundaries of the toothfish fishery than females. These differences may account for the male-biased mortality of grey-headed mollymawks observed in the toothfish fishery around Marion Island. Although a decrease in the annual breeding population has not been detected on Marion Island as yet, we warn that the methods used to detect these changes are inaccurate in measuring short term population changes (&lt; 10 years) and that the impacts of these fisheries may already have altered the demographic structure of this population. (C) 2000 Elsevier Science Ltd. All rights reserved.</t>
  </si>
  <si>
    <t>Port Elizabeth Museum, ZA-6013 Humewood, South Africa; Inst Meereskunde, D-24105 Kiel, Germany; Australian Antarctic Div, Kingston, Tas 7050, Australia</t>
  </si>
  <si>
    <t>Nel, DC (corresponding author), Univ Cape Town, Percy Fitzpatrick Inst African Ornithol, ZA-7701 Rondebosch, South Africa.</t>
  </si>
  <si>
    <t>Ryan, Peter/0000-0002-3356-2056</t>
  </si>
  <si>
    <t>0006-3207</t>
  </si>
  <si>
    <t>BIOL CONSERV</t>
  </si>
  <si>
    <t>Biol. Conserv.</t>
  </si>
  <si>
    <t>10.1016/S0006-3207(00)00072-0</t>
  </si>
  <si>
    <t>347TQ</t>
  </si>
  <si>
    <t>WOS:000088945600010</t>
  </si>
  <si>
    <t>Gauvry, L; Ennion, S; Ettelaie, C; Goldspink, G</t>
  </si>
  <si>
    <t>Characterisation of red and white muscle myosin heavy chain gene coding sequences from antarctic and tropical fish</t>
  </si>
  <si>
    <t>COMPARATIVE BIOCHEMISTRY AND PHYSIOLOGY B-BIOCHEMISTRY &amp; MOLECULAR BIOLOGY</t>
  </si>
  <si>
    <t>myosin; ATPase; Antarctic; tropical fish; S1; loop 1; evolution; expression; temperature adaptation; muscle</t>
  </si>
  <si>
    <t>FAST SKELETAL MYOSIN; ENVIRONMENTAL-TEMPERATURE; CONTRACTILE PROPERTIES; POWER OUTPUT; CARP; LOOP; ADAPTATION; EXPRESSION; ISOFORMS; FIBERS</t>
  </si>
  <si>
    <t>To understand molecular adaptation for locomotion at different environmental temperatures, we have studied the myosin heavy chain genes as these encode the molecular motors involved. For this purpose, cDNA libraries from white (fast) and red (slow) myotomal muscle of an Antarctic and a tropical fish were constructed and from these different myosin heavy chain cDNAs were isolated. Northern and in situ hybridisation confirmed in which type of muscle these isoform genes are expressed. The cDNAs were sequenced and the structure of the ATPase sites compared. There was a marked similarity between the tropical fast myosin and the Antarctic slow myosin in the loop 1 region, which has similar amino acid side chains, charge distribution and conformation. These findings help to explain why the myofibrils isolated from white muscle of tropical fish show a lower specific ATPase activity than the white muscle of Antarctic fish but a similar activity to the Antarctic red (slow) muscle. It also provides insight into the way molecular motors in Antarctic fish have evolved to produce more power and thus ensure effective swimming at near zero temperatures by the substitution or addition of a few residues in strategic regions, which include the ATPase site. (C) 2000 Elsevier Science Inc. All rights reserved.</t>
  </si>
  <si>
    <t>Dept Anat &amp; Dev Biol, Mol Dev Biol Unit, London NW3 2PF, England; Univ London, Royal Free &amp; Univ Coll Med Sch, Dept Biochem &amp; Mol Biol, London, England</t>
  </si>
  <si>
    <t>University of London; University College London</t>
  </si>
  <si>
    <t>Dept Anat &amp; Dev Biol, Mol Dev Biol Unit, Rowland Hill St, London NW3 2PF, England.</t>
  </si>
  <si>
    <t>goldspink@rfc.ucl.ac.uk</t>
  </si>
  <si>
    <t>STE 800, 230 PARK AVE, NEW YORK, NY 10169 USA</t>
  </si>
  <si>
    <t>1096-4959</t>
  </si>
  <si>
    <t>1879-1107</t>
  </si>
  <si>
    <t>COMP BIOCHEM PHYS B</t>
  </si>
  <si>
    <t>Comp. Biochem. Physiol. B-Biochem. Mol. Biol.</t>
  </si>
  <si>
    <t>10.1016/S0305-0491(00)00286-8</t>
  </si>
  <si>
    <t>Biochemistry &amp; Molecular Biology; Zoology</t>
  </si>
  <si>
    <t>384PH</t>
  </si>
  <si>
    <t>WOS:000165953700015</t>
  </si>
  <si>
    <t>Frew, RD; Dennis, PF; Heywood, KJ; Meredith, MP; Boswell, SM</t>
  </si>
  <si>
    <t>The oxygen isotope composition of water masses in the northern North Atlantic</t>
  </si>
  <si>
    <t>oxygen isotopes; oceanographic data; ocean circulation; sea ice; water masses; North Atlantic</t>
  </si>
  <si>
    <t>LABRADOR SEA-WATER; FRESH-WATER; DEEP-WATER; CIRCULATION; OCEAN; ICELAND; ICE; MELTWATER; NUTRIENTS; BALANCE</t>
  </si>
  <si>
    <t>The ratio of oxygen-18 to oxygen-16 (expressed as per mille deviations from Vienna Standard Mean Ocean Water, delta(18)O) is reported for seawater samples collected from seven full-depth CTD casts in the northern North Atlantic between 20 degrees and 41 degrees W, 52 degrees and 60 degrees N. Water masses in the study region are distinguished by their delta(18)O composition, as are the processes involved in their formation. The isotopically heaviest surface waters occur in the eastern region where values of delta(18)O and salinity (S) lie on an evaporation-precipitation line with slope of 0.6 in delta(18)O-S space. Surface isotopic values become progressively lighter to the west of the region due to the addition of O-18-depleted precipitation. This appears to be mainly the meteoric water outflow from the Arctic rather than local precipitation. Surface samples near the southwest of the survey area (close to the Charlie Gibbs Fracture Zone) show a deviation in delta(18)O-S space from the precipitation mixing line due to the influence of sea ice meltwater, We speculate that this is the effect of the sea ice meltwater efflux from the Labrador Sea. Subpolar Mode Water (SPMW) is modified en route to the Labrador Sea where it forms Labrador Sea Water (LSW). LSW lies to the right (saline) side of the precipitation mixing line, indicating that there is a positive net sea ice formation from its source waters. We estimate that a sea ice deficit of approximate to 250 km(3) is incorporated annually into LSW. This ice forms further north from the Labrador Sea, but its effect is transferred to the Labrador Sea via, e.g. the East Greenland Current. East Greenland Current waters are relatively fresh due to dilution with a large amount of meteoric water, but also contain waters that have had a significant amount of sea ice formed from them. The Northeast Atlantic Deep Water (NEADW, delta(18)O = 0.22 parts per thousand) and Northwest Atlantic Bottom Waters (NWABW, delta(18)O = 0.13 parts per thousand,) are isotopically distinct reflecting different formation and mixing processes. NEADW lies on the North Atlantic precipitation mixing line in delta(18)O-salinity space, whereas NWABW lies between NEADW and LSW on delta(18)O-salinity plots. The offset of NWABW relative to the North Atlantic precipitation mixing line is partially due to entrainment of LSW by the Denmark Strait overflow water during its overflow of the Denmark Strait sill. In the eastern basin, lower deep water (LDW, modified Antarctic bottom water) is identified as far north as 55 degrees N. This LDW has delta(18)O of 0.13 parts per thousand, making it quite distinct from NEADW. It is also warmer than NWABW, despite having a similar isotopic composition to this latter water mass. (C) 2000 Elsevier Science Ltd. All rights reserved.</t>
  </si>
  <si>
    <t>Univ Otago, Dept Chem, Dunedin, New Zealand; Univ E Anglia, Sch Environm Sci, Norwich NR4 7TJ, Norfolk, England; Southampton Oceanog Ctr, Southampton SO14 3ZH, Hants, England</t>
  </si>
  <si>
    <t>University of Otago; University of East Anglia; University of Southampton; NERC National Oceanography Centre</t>
  </si>
  <si>
    <t>Frew, RD (corresponding author), Univ Otago, Dept Chem, POB 56, Dunedin, New Zealand.</t>
  </si>
  <si>
    <t>Frew, Russell/HDN-6138-2022; Frew, Russell/I-5591-2012; Heywood, Karen/L-1757-2016</t>
  </si>
  <si>
    <t>Frew, Russell/0000-0002-6138-2116; Meredith, Michael/0000-0002-7342-7756; Dennis, Paul/0000-0002-0307-4406; Heywood, Karen/0000-0001-9859-0026</t>
  </si>
  <si>
    <t>10.1016/S0967-0637(00)00023-6</t>
  </si>
  <si>
    <t>359TJ</t>
  </si>
  <si>
    <t>WOS:000089627900003</t>
  </si>
  <si>
    <t>Thomson, RB; Butterworth, DS; Boyd, IL; Croxall, JP</t>
  </si>
  <si>
    <t>Modeling the consequences of Antarctic krill harvesting on Antarctic fur seals</t>
  </si>
  <si>
    <t>ECOLOGICAL APPLICATIONS</t>
  </si>
  <si>
    <t>Antarctic krill; Antarctic fur seal; Antarctica; Arctocephalus gazella; ecosystem management; ecosystem modeling; Euphausia superba; predator-prey interactions</t>
  </si>
  <si>
    <t>ARCTOCEPHALUS-GAZELLA; SOUTH GEORGIA; POPULATION; ECOSYSTEMS; GROWTH</t>
  </si>
  <si>
    <t>In terms of the convention governing the Commission for the Conservation of Antarctic Marine Living Resources (CCAMLR), management advice for the Antarctic krill (Euphausia superba) fishery should take the needs of the predators of krill into account in order to reduce the risk of deleterious impacts on such predators (e.g., baleen whales and numerous fish, seal, penguin, and flying bird species). A single species yield model is currently being used by the CCAMLR Scientific Committee to recommend an annual krill catch limit, which is expressed as a proportion (gamma = 0.116) of a survey biomass estimate. This approach takes the needs of predators into account in only a crude way by assuming that a median krill escapement of 75% of its unexploited biomass would be sufficient to meet the needs of predators. A krill-predator modeling procedure is presented that could be used to directly assess the impact of krill harvesting on krill predator populations and therefore to revise this recommended harvesting level (gamma) for Antarctic krill. Application of a deterministic form of this model to an Antarctic fur seal (Arctocephalus gazella) data set from Bird Island, South Georgia, Antarctica, indicates that the level of krill fishing intensity (gamma) that would reduce this population to half the equilibrium size in the absence of krill fishing (gamma (half)) lies between 0.03 and 0.18, which includes the level recommended by CCAMLR. This large range results primarily from the sensitivity of the model to the maximum growth rate parameter, for which a range of 5-15%/yr is investigated. A plausible range of values for this parameter (5-15%/yr) results in estimated gamma (half) values from 0.04 to 0.23. Stochastic calculations (which take account of interannual fluctuations in the abundance of the krill population due to recruitment variability) yield higher estimated gamma (half) values than the less realistic deterministic calculations. However, simulation tests indicate that the estimated gamma (half) values are biased upward; this modeling approach is therefore likely to yield gamma (half) values that would lead to a depletion of the Antarctic fur seal population to more than half its pristine size.</t>
  </si>
  <si>
    <t>British Antarctic Survey, NERC, Cambridge CB3 0ET, England; Univ Cape Town, Dept Math &amp; Appl Math, Marine Resource Assessment &amp; Management Grp, ZA-7701 Rondebosch, South Africa</t>
  </si>
  <si>
    <t>UK Research &amp; Innovation (UKRI); Natural Environment Research Council (NERC); NERC British Antarctic Survey; University of Cape Town</t>
  </si>
  <si>
    <t>Thomson, RB (corresponding author), CSIRO, GPO Box 1538, Hobart, Tas 7001, Australia.</t>
  </si>
  <si>
    <t>Thomson, Robin/G-2882-2015</t>
  </si>
  <si>
    <t>Thomson, Robin/0000-0001-8499-2059</t>
  </si>
  <si>
    <t>ECOLOGICAL SOC AMER</t>
  </si>
  <si>
    <t>1707 H ST NW, STE 400, WASHINGTON, DC 20006-3915 USA</t>
  </si>
  <si>
    <t>1051-0761</t>
  </si>
  <si>
    <t>ECOL APPL</t>
  </si>
  <si>
    <t>Ecol. Appl.</t>
  </si>
  <si>
    <t>10.1890/1051-0761(2000)010[1806:MTCOAK]2.0.CO;2</t>
  </si>
  <si>
    <t>380CG</t>
  </si>
  <si>
    <t>WOS:000165680300018</t>
  </si>
  <si>
    <t>Conyers, JG; Rauscher, WC</t>
  </si>
  <si>
    <t>An Antarctic adventure</t>
  </si>
  <si>
    <t>EDUCATIONAL LEADERSHIP</t>
  </si>
  <si>
    <t>Sch Community Consolidated Sch Dist 15, Palatine, IL 60067 USA</t>
  </si>
  <si>
    <t>Conyers, JG (corresponding author), Sch Community Consolidated Sch Dist 15, Palatine, IL 60067 USA.</t>
  </si>
  <si>
    <t>ASSOC SUPERVISION CURRICULUM DEVELOPMENT</t>
  </si>
  <si>
    <t>ALEXANDRIA</t>
  </si>
  <si>
    <t>1703 N BEAUREGARD ST, ALEXANDRIA, VA 22311-1717 USA</t>
  </si>
  <si>
    <t>0013-1784</t>
  </si>
  <si>
    <t>EDUC LEADERSHIP</t>
  </si>
  <si>
    <t>Educ. Leadership</t>
  </si>
  <si>
    <t>DEC-JAN</t>
  </si>
  <si>
    <t>Education &amp; Educational Research</t>
  </si>
  <si>
    <t>383MK</t>
  </si>
  <si>
    <t>WOS:000165886300013</t>
  </si>
  <si>
    <t>Cavicchioli, R; Thomas, T; Curmi, PMG</t>
  </si>
  <si>
    <t>Cold stress response in Archaea</t>
  </si>
  <si>
    <t>EXTREMOPHILES</t>
  </si>
  <si>
    <t>cold shock; low-temperature adaptation; psychrophile; adaptive mechanisms; Antarctic Archaea; gene expression; protein structure; review</t>
  </si>
  <si>
    <t>COMPLETE GENOME SEQUENCE; ACTIVE CITRATE SYNTHASE; RNA-BINDING PROTEINS; POSTTRANSCRIPTIONAL MODIFICATION; METHANOBACTERIUM-THERMOAUTOTROPHICUM; TRANSCRIPTIONAL REGULATION; METHANOGENIC ARCHAEON; MICROBIAL DIVERSITY; PLANKTONIC ARCHAEA; ESCHERICHIA-COLI</t>
  </si>
  <si>
    <t>We live on a cold planet where more than 80% of the biosphere is permanently below 5 degreesC, and yet comparatively little is known about the genetics and physiology of the microorganisms inhabiting these environments. Based on molecular probe and sequencing studies, it is clear that Archaea are numerically abundant in diverse low-temperature environments throughout the globe. In addition, non-low-temperature-adapted Archaea are commonly exposed to sudden decreases in temperature, as are other microorganisms, animals, and plants. Considering their ubiquity in nature, it is perhaps surprising to find that there is such a lack of knowledge regarding low-temperature adaptation mechanisms in Archaea, particularly in comparison to what is known about archaeal thermophiles and hyperthermophiles and responses to heat shock. This review covers what is presently known about adaptation to cold shock and growth at low temperature, with a particular focus on Antarctic Archaea. The review highlights the similarities and differences that exist between Archaea and Bacteria and eukaryotes, and addresses the potentially important role that protein synthesis plays in adaptation to the cold. By reviewing the present state of the field, a number of important areas for future research are identified.</t>
  </si>
  <si>
    <t>Univ New S Wales, Sch Microbiol &amp; Immunol, Sydney, NSW 2052, Australia; Univ New S Wales, Sch Phys, Sydney, NSW, Australia</t>
  </si>
  <si>
    <t>University of New South Wales Sydney; University of New South Wales Sydney</t>
  </si>
  <si>
    <t>Univ New S Wales, Sch Microbiol &amp; Immunol, Sydney, NSW 2052, Australia.</t>
  </si>
  <si>
    <t>r.cavicchioli@unsw.edu.au</t>
  </si>
  <si>
    <t>Curmi, Paul/G-7185-2011; Cavicchioli, Ricardo/D-4341-2013</t>
  </si>
  <si>
    <t>Curmi, Paul/0000-0001-5762-7638; Cavicchioli, Ricardo/0000-0001-8989-6402; Thomas, Torsten/0000-0001-9557-3001</t>
  </si>
  <si>
    <t>SPRINGER JAPAN KK</t>
  </si>
  <si>
    <t>SHIROYAMA TRUST TOWER 5F, 4-3-1 TORANOMON, MINATO-KU, TOKYO, 105-6005, JAPAN</t>
  </si>
  <si>
    <t>1431-0651</t>
  </si>
  <si>
    <t>1433-4909</t>
  </si>
  <si>
    <t>Extremophiles</t>
  </si>
  <si>
    <t>10.1007/s007920070001</t>
  </si>
  <si>
    <t>Biochemistry &amp; Molecular Biology; Microbiology</t>
  </si>
  <si>
    <t>384YW</t>
  </si>
  <si>
    <t>WOS:000165975700001</t>
  </si>
  <si>
    <t>Troshichev, OA; Lukianova, RY; Papitashvili, VO; Rich, FJ; Rasmussen, O</t>
  </si>
  <si>
    <t>Polar cap index (PC) as a proxy for ionospheric electric field in the near-pole region.</t>
  </si>
  <si>
    <t>INTERPLANETARY QUANTITIES</t>
  </si>
  <si>
    <t>The ion drift measurements made by a number of DMSP satellites during some intervals in 1991, 1997, and 1998 are utilized for estimation of the ionospheric electric fields over the near-pole region; these estimates are then compared with the Polar Cap (PC) magnetic activity index obtained from ground geomagnetic observations at Qaanaaq (former Thule, Greenland) and Vostok (Antartica). The analysis shows that the polar cap electric field is primarily controlled by variations in the near-Earth's interplanetary electric field. The relationship between the polar cap ionosphelic electric field and the PC-index can be approximated by a quadratic polynomial. The polar cap ionospheric electric ic field tends to saturate at the asymptote of similar to 45-50 mV/m when the PC index reaches large positive values (PC &gt; 10); the residual electric field (for near-zero interplanetary electric field applied to the Earth's magnetosphere) is similar to 12 mV/m. It is concluded that the PC-index can serve as a proxy of the ionospheric electric fields in the near-pole legion.</t>
  </si>
  <si>
    <t>Arctic &amp; Antarctic Res Inst, St Petersburg 199397, Russia; Univ Michigan, Space Phys Res Lab, Ann Arbor, MI 48109 USA; USAF, Res Lab, Hanscom AFB, MA USA; Danish Meteorol Inst, Solar Terr Div, Copenhagen, Denmark</t>
  </si>
  <si>
    <t>Arctic &amp; Antarctic Research Institute; University of Michigan System; University of Michigan; United States Department of Defense; United States Air Force; Danish Meteorological Institute DMI</t>
  </si>
  <si>
    <t>Troshichev, OA (corresponding author), Arctic &amp; Antarctic Res Inst, 38 Bering Str, St Petersburg 199397, Russia.</t>
  </si>
  <si>
    <t>Lukianova, Renata/K-3293-2012</t>
  </si>
  <si>
    <t>Lukianova, Renata/0000-0003-2343-9174; Papitashvili, Vladimir/0000-0001-6955-4894</t>
  </si>
  <si>
    <t>DEC 1</t>
  </si>
  <si>
    <t>10.1029/2000GL003756</t>
  </si>
  <si>
    <t>379MQ</t>
  </si>
  <si>
    <t>WOS:000165646700013</t>
  </si>
  <si>
    <t>Innis, JL</t>
  </si>
  <si>
    <t>Deceleration of the high-latitude thermospheric wind by polar cap gravity waves</t>
  </si>
  <si>
    <t>VERTICAL WINDS; EQUATORIAL THERMOSPHERE; ANTARCTICA; BOUNDARY; MOTIONS; MAWSON</t>
  </si>
  <si>
    <t>This letter explores the hypothesis that gravity wave drag may account for the observed deceleration of the thermospheric anti-sunward wind near the nightside auroral oval, which at times has been seen to reduce to near zero in a horizontal distance of a few hundred kilometres. Other high-latitude observations have revealed thermospheric gravity waves that appear to propagate across the polar cap from the nightside to the dayside, and hence are moving counter to the wind near magnetic midnight. Approximate constancy with altitude of the vertical velocity amplitudes of these waves suggests a moderate level of energy dissipation is present. Calculations indicate a wave-mean flow interaction could lead to a deceleration of the wind of magnitude comparable to that observed.</t>
  </si>
  <si>
    <t>Innis, JL (corresponding author), Australian Antarctic Div, Channel Highway, Kingston, Tas 7050, Australia.</t>
  </si>
  <si>
    <t>10.1029/2000GL012066</t>
  </si>
  <si>
    <t>WOS:000165646700014</t>
  </si>
  <si>
    <t>Lee, AM; Roscoe, HK; Oltmans, S</t>
  </si>
  <si>
    <t>Model and measurements show Antarctic ozone loss follows edge of polar night</t>
  </si>
  <si>
    <t>DEPLETION; VORTEX</t>
  </si>
  <si>
    <t>A three-dimensional chemical-transport model of the stratosphere has been used to study the 1996 austral winter and spring. Both the model and ozonesonde measurements show that ozone depletion associated with the Antarctic ozone hole follows the edge of polar night: very little ozone-depleted air mixes ahead of the terminator as it sweeps poleward, until the terminator reaches 80 degreesS. Other details of the model ozone field show very good agreement with measurements.</t>
  </si>
  <si>
    <t>Univ Cambridge, Ctr Atmospher Sci, Dept Chem, Cambridge CB2 1EW, England; British Antarctic Survey, NERC, Cambridge CB3 0ET, England; NOAA, CMDL, Boulder, CO USA</t>
  </si>
  <si>
    <t>University of Cambridge; UK Research &amp; Innovation (UKRI); Natural Environment Research Council (NERC); NERC British Antarctic Survey; National Oceanic Atmospheric Admin (NOAA) - USA</t>
  </si>
  <si>
    <t>Lee, AM (corresponding author), Univ Cambridge, Ctr Atmospher Sci, Dept Chem, Lensfield Rd, Cambridge CB2 1EW, England.</t>
  </si>
  <si>
    <t>Oltmans, Samuel/AAC-8987-2022</t>
  </si>
  <si>
    <t>10.1029/2000GL011441</t>
  </si>
  <si>
    <t>WOS:000165646700022</t>
  </si>
  <si>
    <t>Le Quéré, C; Orr, JC; Monfray, P; Aumont, O; Madec, G</t>
  </si>
  <si>
    <t>Interannual variability of the oceanic sink of CO2 from 1979 through 1997</t>
  </si>
  <si>
    <t>GLOBAL BIOGEOCHEMICAL CYCLES</t>
  </si>
  <si>
    <t>EQUATORIAL PACIFIC-OCEAN; GENERAL-CIRCULATION MODEL; ATMOSPHERIC CARBON-DIOXIDE; ANTARCTIC CIRCUMPOLAR WAVE; SURFACE PARTIAL-PRESSURE; AIR-SEA EXCHANGE; EL-NINO; GLOBAL OCEAN; DISSOCIATION-CONSTANTS; TRACER DISTRIBUTIONS</t>
  </si>
  <si>
    <t>We have estimated the interannual variability in the oceanic sink of CO2 with a three-dimensional global-scale model which includes ocean circulation and simple biogeochemistry. The model was forced from 1979 to 1997 by a combination of daily to weekly data from the European Centre for Medium-Range Weather Forecast and the National Centers for Environmental Prediction/National Center for Atmospheric Research reanalysis as well as European Remote Sensing satellite observations. For this period, the ocean sink of CO2 is estimated to vary between 1.4 and 2.2 Pg C yr(-1), as a result of annually averaged interannual variability of +/-0.4 Pg C yr(-1) that fluctuates about a mean of 1.8 Pg C yr(-1) Our interannual variability roughly agrees in amplitude with previous ocean-based estimates but is 2 to 4 times less than estimates based on atmospheric observations. About 70% of the global variance in our modeled Aux of CO2 originated in the equatorial Pacific. In that region, our modeled variability in the flux of CO2 generally agreed with that observed to +/-0.1 Pg C yr(-1) The predominance of the equatorial Pacific for interannual variability is caused by three factors: (1) interannual variability associated with El Nino events occurs in phase over the entire basin, whereas elsewhere positive and negative anomalies partly cancel each other out (e.g., for events such as Antarctic Circumpolar Wave and the North Atlantic Oscillation); (2) dynamic processes dominate in the equatorial Pacific, whereas dynamic, thermodynamic, and biological processes partly cancel one another at higher latitudes; and (3) our model underestimates the variability in ocean dynamics and biology at high latitudes.</t>
  </si>
  <si>
    <t>CEA Saclay, CNRS, Unite Mixte CEA, Lab Sci Climat &amp; Environm, F-91191 Gif Sur Yvette, France; Univ Paris 06, CNRS, ORSTOM, Lab Oceanol Dynam &amp; Climatol, F-75252 Paris 05, France</t>
  </si>
  <si>
    <t>Universite Paris Saclay; CEA; Centre National de la Recherche Scientifique (CNRS); Institut de Recherche pour le Developpement (IRD); Sorbonne Universite; Centre National de la Recherche Scientifique (CNRS)</t>
  </si>
  <si>
    <t>Le Quéré, C (corresponding author), Max Planck Inst Biogeochem, Carl Zeiss Promenade 10, D-07745 Jena, Germany.</t>
  </si>
  <si>
    <t>Aumont, Olivier/G-5207-2016; madec, gurvan/E-7825-2010; Le Quéré, Corinne/C-2631-2017; Orr, James C/C-5221-2009; MONFRAY, Patrick/AAB-8665-2020</t>
  </si>
  <si>
    <t>Aumont, Olivier/0000-0003-3954-506X; madec, gurvan/0000-0002-6447-4198; Le Quéré, Corinne/0000-0003-2319-0452; MONFRAY, Patrick/0000-0002-3028-5591; Orr, James/0000-0002-8707-7080</t>
  </si>
  <si>
    <t>0886-6236</t>
  </si>
  <si>
    <t>GLOBAL BIOGEOCHEM CY</t>
  </si>
  <si>
    <t>Glob. Biogeochem. Cycle</t>
  </si>
  <si>
    <t>10.1029/1999GB900049</t>
  </si>
  <si>
    <t>Environmental Sciences; Geosciences, Multidisciplinary; Meteorology &amp; Atmospheric Sciences</t>
  </si>
  <si>
    <t>Environmental Sciences &amp; Ecology; Geology; Meteorology &amp; Atmospheric Sciences</t>
  </si>
  <si>
    <t>391EK</t>
  </si>
  <si>
    <t>WOS:000166341000020</t>
  </si>
  <si>
    <t>Gleeson, M; Francis, JL; Lugg, DJ; Clancy, RL; Ayton, JM; Reynolds, JA; Mcconnell, CC</t>
  </si>
  <si>
    <t>One year in Antarctica: Mucosal immunity at three Australian stations</t>
  </si>
  <si>
    <t>IMMUNOLOGY AND CELL BIOLOGY</t>
  </si>
  <si>
    <t>albumin; Antarctica; immunoglobulin A; immunoglobulin G; immunoglobulin M; mucosal immunity; saliva; stress</t>
  </si>
  <si>
    <t>CELL-MEDIATED-IMMUNITY; SALIVARY IMMUNOGLOBULIN; SECRETION RATE; STRESS; SYSTEM; IGA</t>
  </si>
  <si>
    <t>The effect of a year's isolation in Antarctica on the human mucosal immune system was assessed during the winter of 1992 at three Australian Antarctic stations: Casey, Davis and Mawson. Saliva samples were collected from each expeditioner prior to their departure from Australia and during each month in Antarctica. The concentrations of salivary immunoglobulins IgA and IgG were significantly different between the three stations, but there were no differences for salivary IgM and albumin. The mean concentrations of IgA were higher at Mawson (P &lt; 0.008), and the mean concentrations of IgG were lower at Davis (P &lt; 0.001) compared with the other stations. Ranges of values observed at the stations over the 12-13 months were similar. The variability of values within individuals showed station differences for salivary IgM and IgG only. The study revealed significant changes in salivary immunoglobulin values over the period in Antarctica, with similar patterns at the three Australian stations. The salivary IgA and IgM levels were lower in the first 4 months in Antarctica (January-April) and increased to maximum values in July-August, before returning to mean levels when isolation was broken in October-November. The patterns of salivary IgA and IgM suggest that stressors due to isolation may play a role in alterations of mucosal immunity in expeditioners in Antarctica.</t>
  </si>
  <si>
    <t>Royal Newcastle Hosp, Hunter Immunol Unit, Hunter Area Pathol Serv, Newcastle, NSW 2300, Australia; Univ Newcastle, Fac Med &amp; Hlth Sci, Callaghan, NSW, Australia; Australian Antarctic Div, Polar Med Branch, Kingston, Tas, Australia</t>
  </si>
  <si>
    <t>University of Newcastle; Australian Antarctic Division</t>
  </si>
  <si>
    <t>Gleeson, M (corresponding author), Royal Newcastle Hosp, Hunter Immunol Unit, Hunter Area Pathol Serv, POB 664J, Newcastle, NSW 2300, Australia.</t>
  </si>
  <si>
    <t>Ayton, Jeffrey/0000-0003-4012-6719</t>
  </si>
  <si>
    <t>0818-9641</t>
  </si>
  <si>
    <t>IMMUNOL CELL BIOL</t>
  </si>
  <si>
    <t>Immunol. Cell Biol.</t>
  </si>
  <si>
    <t>10.1046/j.1440-1711.2000.00958.x</t>
  </si>
  <si>
    <t>Cell Biology; Immunology</t>
  </si>
  <si>
    <t>379VD</t>
  </si>
  <si>
    <t>WOS:000165662800007</t>
  </si>
  <si>
    <t>Savours, A</t>
  </si>
  <si>
    <t>Pilgrims on the ice: Robert Falcon Scott's first Antarctic expedition</t>
  </si>
  <si>
    <t>INTERNATIONAL HISTORY REVIEW</t>
  </si>
  <si>
    <t>Book Review</t>
  </si>
  <si>
    <t>SIMON FRASER UNIV, INT HISTORY REVIEW</t>
  </si>
  <si>
    <t>BURNABY</t>
  </si>
  <si>
    <t>EAA 2015, BURNABY, BC V5A 1S6, CANADA</t>
  </si>
  <si>
    <t>0707-5332</t>
  </si>
  <si>
    <t>INT HIST REV</t>
  </si>
  <si>
    <t>Int. Hist. Rev.</t>
  </si>
  <si>
    <t>History</t>
  </si>
  <si>
    <t>Arts &amp; Humanities Citation Index (A&amp;HCI)</t>
  </si>
  <si>
    <t>383TU</t>
  </si>
  <si>
    <t>WOS:000165899600040</t>
  </si>
  <si>
    <t>Smith, IN; McIntosh, P; Ansell, TJ; Reason, CJC; McInnes, K</t>
  </si>
  <si>
    <t>Southwest Western Australian winter rainfall and its association with Indian Ocean climate variability</t>
  </si>
  <si>
    <t>correlation; empirical orthogonal functions; Indian Ocean; mean sea level pressure; rainfall; sea surface temperatures; southwest Western Australia</t>
  </si>
  <si>
    <t>ANTARCTIC CIRCUMPOLAR WAVE; TRACKING CYCLONE CENTERS; SOUTHERN-HEMISPHERE; NUMERICAL SCHEME; DIGITAL DATA; NEW-ZEALAND; PATTERNS; 20TH-CENTURY; CIRCULATION; TEMPERATURE</t>
  </si>
  <si>
    <t>Southwest Western Australia (SWWA) has experienced a significant decrease in winter rainfall since the late 1960s. This decrease is unexplained and the resultant problem of reduced water storage has been compounded by the lack of any useful predictive skill at the seasonal time scale. This study uses recent gridded, historical data and simple linear correlation in order to evaluate the importance of links between rainfall and both mean sea level pressure (MSLP) and sea-surface temperature (SST) patterns over the Indian Ocean. The decrease in rainfall is linked to decreases in the density of low-pressure systems in the region and to increases in both MSLP and SST over the southern Indian Ocean. Warmer SSTs and increases in MSLP are associated with the observed long-term changes, but changes in these variables do not explain a great deal of the observed interannual variability. Greenhouse-induced climate change is not regarded as a likely explanation for the observed decrease, however, the existence of links with both MSLP and SSTs suggests the existence of coupled air-sea interactions over the southern Indian Ocean which may be relevant at decadal or multi-decadal timescales. A major difficulty with defining any such processes is the relative sparseness of data at high latitudes in the Southern Hemisphere. This should be partly alleviated as more recent high quality data becomes available over time. Copyright (C) 2000 Royal Meteorological Society.</t>
  </si>
  <si>
    <t>CSIRO, Div Atmospher Res, Aspendale, Vic 3195, Australia; CSIRO Marine Res, Hobart, Tas, Australia; Univ Melbourne, Parkville, Vic 3052, Australia</t>
  </si>
  <si>
    <t>Commonwealth Scientific &amp; Industrial Research Organisation (CSIRO); Commonwealth Scientific &amp; Industrial Research Organisation (CSIRO); University of Melbourne</t>
  </si>
  <si>
    <t>Smith, IN (corresponding author), CSIRO, Div Atmospher Res, Aspendale, Vic 3195, Australia.</t>
  </si>
  <si>
    <t>McInnes, Kathleen/A-7787-2012</t>
  </si>
  <si>
    <t>McInnes, Kathleen/0000-0002-1810-7215</t>
  </si>
  <si>
    <t>10.1002/1097-0088(200012)20:15&lt;1913::AID-JOC594&gt;3.0.CO;2-J</t>
  </si>
  <si>
    <t>387BC</t>
  </si>
  <si>
    <t>WOS:000166099400003</t>
  </si>
  <si>
    <t>Bradshaw, CJA; Barker, RJ; Davis, LS</t>
  </si>
  <si>
    <t>Modeling tag loss in New Zealand fur seal pups</t>
  </si>
  <si>
    <t>JOURNAL OF AGRICULTURAL BIOLOGICAL AND ENVIRONMENTAL STATISTICS</t>
  </si>
  <si>
    <t>Arctocephalus forsteri; double-tagging; log-linear model; mark-recapture; tag-loss association</t>
  </si>
  <si>
    <t>ARCTOCEPHALUS-FORSTERI; WEDDELL SEALS; LEPTONYCHOTES-WEDDELLI; SURVIVAL; ATLANTIC; ISLAND; OTTERS</t>
  </si>
  <si>
    <t>Mark-recapture studies of pinnipeds commonly use double-tagging to reduce bias of parameter estimates and to allow estimation of tag retention rates. However, most tag retention estimates assume independence of tag loss. Here we were able to identify when individual New Zealand fur seal (Arctocephalus forsteri) pups had lost both tags; therefore, we tested the assumption of no association between the tag-loss rates of left and right tags. We also tested for differences in tag retention among three different types of plastic tag (Allflex(R) cattle, mini and button tags), between two attachment types (i.e., fixed or swivel), and whether retention varied among years and colonies sampled. We found strong evidence of within-individual tag loss association for most tags in most years, but little evidence that this varied among colonies. We found that ignoring within-individual association of tag loss led to a bias in estimated tag retention of 7.4-10.1%. Smaller rocks and greater crevice and ledge densities in colonies were associated with lower probabilities of tag retention. We suggest researchers should attempt to use permanent marks in combination with tags to assess unbiased estimates of tag retention.</t>
  </si>
  <si>
    <t>Univ Otago, Dept Zool, Dunedin, New Zealand; Univ Otago, Dept Math &amp; Stat, Dunedin, New Zealand</t>
  </si>
  <si>
    <t>University of Otago; University of Otago</t>
  </si>
  <si>
    <t>Bradshaw, CJA (corresponding author), Univ Tasmania, Sch Zoo, Antarctic Wildlife Res Unit, GPO Box 252-05, Hobart, Tas 7001, Australia.</t>
  </si>
  <si>
    <t>Bradshaw, Corey J. A./A-1311-2008; Davis, Lloyd/HJI-3533-2023</t>
  </si>
  <si>
    <t>Bradshaw, Corey J. A./0000-0002-5328-7741;</t>
  </si>
  <si>
    <t>AMER STATISTICAL ASSOC &amp; INTERNATIONAL BIOMETRIC SOC</t>
  </si>
  <si>
    <t>1444 I ST NW, STE 700, WASHINGTON, DC 20005 USA</t>
  </si>
  <si>
    <t>1085-7117</t>
  </si>
  <si>
    <t>J AGRIC BIOL ENVIR S</t>
  </si>
  <si>
    <t>J. Agric. Biol. Environ. Stat.</t>
  </si>
  <si>
    <t>10.2307/1400661</t>
  </si>
  <si>
    <t>Biology; Mathematical &amp; Computational Biology; Statistics &amp; Probability</t>
  </si>
  <si>
    <t>Life Sciences &amp; Biomedicine - Other Topics; Mathematical &amp; Computational Biology; Mathematics</t>
  </si>
  <si>
    <t>382GX</t>
  </si>
  <si>
    <t>WOS:000165815500006</t>
  </si>
  <si>
    <t>Bradley, JS; Cox, JM; Nicholson, LW; Wooller, RD; Hamer, KC; Hill, JK</t>
  </si>
  <si>
    <t>Parental influence upon the provisioning schedules of nestling Short-tailed Shearwaters Puffinus tenuirostris</t>
  </si>
  <si>
    <t>JOURNAL OF AVIAN BIOLOGY</t>
  </si>
  <si>
    <t>LEACHS STORM-PETRELS; LONG-LIVED SEABIRD; ANTARCTIC PETREL; BODY CONDITION; EXPERIMENTAL MANIPULATION; STOCHASTIC VARIATION; FEEDING FREQUENCY; FORAGING STRATEGY; CORYS SHEARWATER; FOOD DELIVERY</t>
  </si>
  <si>
    <t>The single young of shearwaters grows slowly and is fed at long, often highly variable, intervals. We monitored the growth patterns of nestling Short-tailed Shearwaters Puffinus tenuirostris exchanged between nests in order to assess whether the patterns of parental visits or the demands of their young determined the rate of food provisioning in this species. These cross-fostering trials indicate a strong parental influence upon the rate of food delivery, but did not exclude the possibility of a minor influence from chicks.</t>
  </si>
  <si>
    <t>Murdoch Univ, Murdoch, WA 6150, Australia; Univ Durham, Dept Biol Sci, Durham DH1 3LE, England</t>
  </si>
  <si>
    <t>Murdoch University; Durham University</t>
  </si>
  <si>
    <t>Murdoch Univ, Murdoch, WA 6150, Australia.</t>
  </si>
  <si>
    <t>bradley@central.murdoch.edu.au</t>
  </si>
  <si>
    <t>Hill, Jane K./AAJ-3374-2021; Hill, Jane K/G-5151-2011</t>
  </si>
  <si>
    <t>Hill, Jane K./0000-0003-1871-7715;</t>
  </si>
  <si>
    <t>0908-8857</t>
  </si>
  <si>
    <t>1600-048X</t>
  </si>
  <si>
    <t>J AVIAN BIOL</t>
  </si>
  <si>
    <t>J. Avian Biol.</t>
  </si>
  <si>
    <t>10.1034/j.1600-048X.2000.310412.x</t>
  </si>
  <si>
    <t>399FY</t>
  </si>
  <si>
    <t>WOS:000166802000012</t>
  </si>
  <si>
    <t>Weathers, WW; Gerhart, KL; Hodum, PJ</t>
  </si>
  <si>
    <t>Thermoregulation in Antarctic fulmarine petrels</t>
  </si>
  <si>
    <t>JOURNAL OF COMPARATIVE PHYSIOLOGY B-BIOCHEMICAL SYSTEMS AND ENVIRONMENTAL PHYSIOLOGY</t>
  </si>
  <si>
    <t>thermal conductance; energetics; nestlings; thermoregulation; metabolism</t>
  </si>
  <si>
    <t>METABOLIC-RATE; THERMAL CONDUCTANCE; ENERGY-EXPENDITURE; BODY-SIZE; OXYGEN-CONSUMPTION; DIVING PETRELS; HEAT INCREMENT; CHICKS; TEMPERATURE; RESPONSES</t>
  </si>
  <si>
    <t>We measured resting metabolic rates at air temperatures between ca. -5 and 30 degreesC in snow petrels (Pagodroma nivea), cape petrels (Daption capense), Antarctic petrels (Thalassoica antarctica), and Antarctic fulmars (Fulmarus glacialoides). We measured seven age classes for each species: adults, and nestlings that were 3, 8, 15, 28, 35, and 42 days old. Basal metabolic rate (BMR) and thermal conductance (C) of adults averaged, respectively, 140% and 100% of values predicted allometrically for nonpasserine birds. Minimum metabolic rates of unfasted nestlings aged 15-42 days averaged, respectively, 97% and 98% of predicted adult BMR in Antarctic petrels and snow petrels, Versus 119% and 126% of predicted in Antarctic fulmars and cape petrels. Nestlings of the southerly breeding snow petrel and Antarctic petrel were relatively well insulated compared with nestlings of other high-latitude seabirds. Adult lower critical temperature (TI,) was inversely related to body mass and averaged 9 degreesC lower than predicted allometrically. As nestlings grew, their T-1c decreased with increasing body mass from ca. 14 to 22 degreesC (depending upon species) at 3 days of age, to -4 to 8 degreesC when nestlings attained peak mass. Nestling T-1c subsequently increased as body mass decreased during pre-fledging weight recession. Nestling T-1c was close to mean air temperature from the end of brooding until hedging in the three surface nesting species.</t>
  </si>
  <si>
    <t>Univ Calif Davis, Dept Anim Sci, Davis, CA 95616 USA</t>
  </si>
  <si>
    <t>University of California System; University of California Davis</t>
  </si>
  <si>
    <t>Univ Calif Davis, Dept Anim Sci, Davis, CA 95616 USA.</t>
  </si>
  <si>
    <t>wwweathers@ucdavis.edu</t>
  </si>
  <si>
    <t>0174-1578</t>
  </si>
  <si>
    <t>1432-136X</t>
  </si>
  <si>
    <t>J COMP PHYSIOL B</t>
  </si>
  <si>
    <t>J. Comp. Physiol. B-Biochem. Syst. Environ. Physiol.</t>
  </si>
  <si>
    <t>10.1007/s003600000134</t>
  </si>
  <si>
    <t>Physiology; Zoology</t>
  </si>
  <si>
    <t>386BV</t>
  </si>
  <si>
    <t>WOS:000166041000001</t>
  </si>
  <si>
    <t>Prohaska, T; Quétel, CR; Hennessy, C; Liesegang, D; Papadakis, I; Taylor, PDP; Latkoczy, C; Hann, S; Stingeder, G</t>
  </si>
  <si>
    <t>SI-traceable certification of Cu, Cr, Cd and Pb in sediment and fly ash candidate reference materials</t>
  </si>
  <si>
    <t>JOURNAL OF ENVIRONMENTAL MONITORING</t>
  </si>
  <si>
    <t>PLASMA-MASS-SPECTROMETRY; ISOTOPE-DILUTION; ANTARCTIC SEDIMENT; ICP-MS; ELEMENTS; SAMPLES; COPPER</t>
  </si>
  <si>
    <t>Many fields in environmental analytical Chemistry deal with very low limits and thresholds as set by governmental legislations or transnational regulations. The need for the accuracy, comparability and traceability of analytical measurements in environmental analytical chemistry has significantly increased and total uncertainties are even asked for by accreditation bodies of environmental laboratories. This paper addresses achieving these goals to guarantee accuracy, quality control, quality assurance or validation of a method by means of certified reference materials. The assessment of analytical results in certified reference materials must be as accurate as possible and every single step has to be fully evaluated. This paper presents the SI-traceable certification of Cu, Cr, Cd and Pb contents in geological and environmentally relevant matrices (three sediments and one fly ash sample). Certification was achieved using isotope dilution (ID) ICPMS as a primary method of measurement. In order to reduce significantly the number of analytical step's and intermediate samples a multiple spiking approach was developed. The full methodology is documented and total uncertainty budgets are calculated for all certified values. A non-element specific sample digestion process was optimised. All wet chemical digestion methods examined resulted in a more or less pronounced amount of precipitate. It is demonstrated that these precipitates originate mainly from secondary formation of fluorides (essentially CaF2) and that their formation takes place after isotopic equilibration. The contribution to the total uncertainty of the final values resulting from the formation of such precipitates was in general &lt;0.1% for all investigated elements. Other sources of uncertainty scrutinised included the moisture content determination, procedural blank determination, cross-contamination from the different spike materials, correction for spectral interferences, instrumental background and deadtime effects, as well as the use of either certified values or IUPAC data in the IDMS equation. The average elemental content in the sediment samples was 30-130 g g(-1) for Pb, 0.5-3 mug g(-1) for Cd and 50-70 mug g(-1) for Cu. Cr was measured in one sample and was about 60 mug g(-1). The concentrations in the fly ash sample were up to 2 orders of magnitude higher. Expanded uncertainty for the investigated elements was about 3% (coverage factor k = 2) except for Cr, (measured by high resolution ICPMS), for which the expanded uncertainty was about 7% (k = 2).</t>
  </si>
  <si>
    <t>Commiss European Communities, Joint Res Ctr, Inst Reference Mat &amp; Measurements, IM Unit, B-2440 Geel, Belgium; Vienna Univ Agr Sci, Inst Chem, A-1190 Vienna, Austria</t>
  </si>
  <si>
    <t>European Commission Joint Research Centre; EC JRC Institute for Reference Materials &amp; Measurements (IRMM); BOKU University</t>
  </si>
  <si>
    <t>Commiss European Communities, Joint Res Ctr, Inst Reference Mat &amp; Measurements, IM Unit, B-2440 Geel, Belgium.</t>
  </si>
  <si>
    <t>prohaska@mail.boku.ac.at</t>
  </si>
  <si>
    <t>Hann, Stephan/HPF-0275-2023</t>
  </si>
  <si>
    <t>Hann, Stephan/0000-0001-5045-7293; Prohaska, Thomas/0000-0001-9367-8141</t>
  </si>
  <si>
    <t>THOMAS GRAHAM HOUSE, SCIENCE PARK, MILTON RD, CAMBRIDGE CB4 0WF, CAMBS, ENGLAND</t>
  </si>
  <si>
    <t>1464-0325</t>
  </si>
  <si>
    <t>1464-0333</t>
  </si>
  <si>
    <t>J ENVIRON MONITOR</t>
  </si>
  <si>
    <t>J. Environ. Monit.</t>
  </si>
  <si>
    <t>10.1039/b005017m</t>
  </si>
  <si>
    <t>385FP</t>
  </si>
  <si>
    <t>WOS:000165993200017</t>
  </si>
  <si>
    <t>Costa, DP; Gales, NJ</t>
  </si>
  <si>
    <t>Foraging energetics and diving behavior of lactating New Zealand sea lions, Phocarctos hookeri</t>
  </si>
  <si>
    <t>JOURNAL OF EXPERIMENTAL BIOLOGY</t>
  </si>
  <si>
    <t>New Zealand sea lion; Phocarctos hookeri; Hooker's sea lion; field metabolic rate; doubly labelled water; time/depth recorder; foraging energetics; diving physiology; diving behaviour; foraging ecology</t>
  </si>
  <si>
    <t>ANTARCTIC FUR SEALS; WEDDELL SEALS; PINNIPEDS; BLOOD; TRANSPORT</t>
  </si>
  <si>
    <t>The New Zealand sea lion, Phocarctos hookeri, is the deepest- and longest-diving sea lion, We were interested in whether the diving ability of this animal was related to changes in its at-sea and diving metabolic rates. We measured the metabolic rate, water turnover and diving behavior of 12 lactating New Zealand sea lions at Sandy Bay, Enderby Island, Auckland Islands Group, New Zealand (50 degrees 30'S, 166 degrees 17'E), during January and February 1997 when their pups were between 1 and 2 months old. Metabolic rate (rate of CO2 production) and water turnover were measured using the O-18 doubly-labeled water technique, and diving behavior was measured with time/depth recorders (TDRs), Mean total body water was 66.0+/-1.1% (mean +/- S.D.) and mean rate of CO2 production was 0.835+0.114 ml g(-1) h(-1), which provides an estimated mass-specific field metabolic rate (FMR) of 5.47+/-0.75 W kg(-1). After correction for time on shore, the at-sea FMR was estimated to be 6.65+/-1.09 W kg(-1), a value 5.8 times the predicted standard metabolic rate of a terrestrial animal of equal size. The mean maximum dive depth was 353+/-164 m, with a mean diving depth of 124+/-36 m, The mean maximum dive duration was 8.3+/-1.7 min, with an average duration of 3.4+/-0.6 min. The deepest, 550 m, and longest, 11.5 min, dives were made by the largest animal (155 kg), Our results indicate that the deep and long-duration diving ability of New Zealand sea lions is not due to a decreased diving metabolic rate. Individual sea lions that performed deeper dives had lower FMRs, which may result from the use of energetically efficient burst-and-glide locomotion, There are differences in the foraging patterns of deep and shallow divers that may reflect differences in surface swimming, time spent on the surface and/or diet, Our data indicate that, although New Zealand sea lions have increased their Oz storage capacity, they do not, or cannot, significantly reduce their at-sea metabolic rates and are therefore likely to be operating near their physiological maximum.</t>
  </si>
  <si>
    <t>Univ Calif Santa Cruz, Inst Marine Sci, Dept Biol, Santa Cruz, CA 95064 USA; Dept Conservat, Wellington, New Zealand</t>
  </si>
  <si>
    <t>University of California System; University of California Santa Cruz</t>
  </si>
  <si>
    <t>Costa, DP (corresponding author), Univ Calif Santa Cruz, Inst Marine Sci, Dept Biol, Santa Cruz, CA 95064 USA.</t>
  </si>
  <si>
    <t>Costa, Daniel Paul/E-2616-2013</t>
  </si>
  <si>
    <t>Costa, Daniel Paul/0000-0002-0233-5782</t>
  </si>
  <si>
    <t>COMPANY OF BIOLOGISTS LTD</t>
  </si>
  <si>
    <t>BIDDER BUILDING CAMBRIDGE COMMERCIAL PARK COWLEY RD, CAMBRIDGE CB4 4DL, CAMBS, ENGLAND</t>
  </si>
  <si>
    <t>0022-0949</t>
  </si>
  <si>
    <t>J EXP BIOL</t>
  </si>
  <si>
    <t>J. Exp. Biol.</t>
  </si>
  <si>
    <t>384QH</t>
  </si>
  <si>
    <t>WOS:000165956000014</t>
  </si>
  <si>
    <t>Newman, SJ; Dunlap, WC; Nicol, S; Ritz, D</t>
  </si>
  <si>
    <t>Antarctic krill (Euphausia superba) acquire a UV-absorbing mycosporine-like amino acid from dietary algae</t>
  </si>
  <si>
    <t>JOURNAL OF EXPERIMENTAL MARINE BIOLOGY AND ECOLOGY</t>
  </si>
  <si>
    <t>algae; krill; mycosporine-like amino acid; trophic accumulation; ultraviolet radiation</t>
  </si>
  <si>
    <t>NATURAL ULTRAVIOLET-RADIATION; URCHIN STRONGYLOCENTROTUS-DROEBACHIENSIS; B RADIATION; OZONE-DEPLETION; PHAEOCYSTIS-POUCHETII; MARINE ORGANISMS; PHYTOPLANKTON; ZOOPLANKTON; PENETRATION; PROTECTION</t>
  </si>
  <si>
    <t>We hypothesised that Antarctic krill acquire UV-absorbing mycosporine-like amino acids (MAAs) from dietary algae, which produce MAAs in response to ultraviolet (UV) irradiation. To test this hypothesis, we grew cultures of Phaeocystis antarctica that had been grown under either photosynthetically active radiation (PAR, 400-750 nm) plus UV irradiation (UVR, 280-400 nm), or else PAR-only. Algae grown under PAR-only produced high concentrations of porphyra-334, whereas additional UVR caused formation of high concentrations of mycosporine-glycine:valine and lower concentrations of porphyra-334. Krill were fed with either of these two cultures on eight occasions over 63 days. A third group was starved for the duration of the experiment. Animals were analysed after 36 and 63 days for MAA content. Remaining animals from all treatments were starved for a further 35 days and analysed to examine MAA retention characteristics. Our findings are that krill acquired different MAAs from dietary algae depending on the light conditions under which the algae were grown. Specifically, krill fed algae grown under PAR-only had higher concentrations of porphyra-334 than starved krill. Conversely, krill fed algae grown under PAR with additional WR had high body concentrations of mycosporine-glycine :valine. MAA concentrations in starved krill remained static throughout the experiment. However, long term starvation (35 days) caused levels of certain acquired MAAs to decline. From this we can infer that MAA concentrations in krill are dependent on the MAA content of phytoplankton, and therefore the algae's response to UV exposure. This has implications for transfer of MAAs through marine trophic webs. (C) 2000 Elsevier Science BN. All rights reserved.</t>
  </si>
  <si>
    <t>Univ Tasmania, Sch Zool, Hobart, Tas 7001, Australia; Australian Inst Marine Sci, Townsville, Qld 4810, Australia; Australian Antarctic Div, Kingston, Tas 7050, Australia</t>
  </si>
  <si>
    <t>University of Tasmania; Australian Institute of Marine Science; Australian Antarctic Division</t>
  </si>
  <si>
    <t>Newman, SJ (corresponding author), Univ Mediterranee, UMR6535, Lab Oceanog &amp; Biogeochim, Ctr Oceanol Marseille, Parc Sci &amp; Technol Luminy,Case 901, F-13288 Marseille 09, France.</t>
  </si>
  <si>
    <t>Newman, Stuart/B-7705-2013</t>
  </si>
  <si>
    <t>Newman, Stuart/0000-0002-4067-5497</t>
  </si>
  <si>
    <t>0022-0981</t>
  </si>
  <si>
    <t>J EXP MAR BIOL ECOL</t>
  </si>
  <si>
    <t>J. Exp. Mar. Biol. Ecol.</t>
  </si>
  <si>
    <t>10.1016/S0022-0981(00)00293-8</t>
  </si>
  <si>
    <t>379KA</t>
  </si>
  <si>
    <t>WOS:000165640200006</t>
  </si>
  <si>
    <t>Riccio, A; Tamburrini, M; Carratore, V; di Prisco, G</t>
  </si>
  <si>
    <t>Functionally distinct haemoglobins of the cryopelagic Antarctic teleost Pagothenia borchgrevinki</t>
  </si>
  <si>
    <t>JOURNAL OF FISH BIOLOGY</t>
  </si>
  <si>
    <t>Annual Symposium on Biology of Polar Fish of the Fisheries-Society-of-the-British-Isles</t>
  </si>
  <si>
    <t>JUL 24-28, 2000</t>
  </si>
  <si>
    <t>JESUS COLL, CAMBRIDGE, ENGLAND</t>
  </si>
  <si>
    <t>JESUS COLL</t>
  </si>
  <si>
    <t>amino acid sequence; Antarctic fish; biochemical adaptation; evolution; haemoglobin; oxygen binding</t>
  </si>
  <si>
    <t>AMINO-ACID-SEQUENCE; NOTOTHENIA-CORIICEPS-NEGLECTA; OXYGEN-BINDING-PROPERTIES; TREMATOMUS-NEWNESI; CRYSTAL-STRUCTURE; HEMOGLOBIN; FISH; ADAPTATION; DEOXYHEMOGLOBIN; PURIFICATION</t>
  </si>
  <si>
    <t>Pagothenia borchgrevinki has a higher haemoglobin concentration than other Antarctic notothenioids and the high oxygen capacity may correlate with the relatively active mode of life of this fish. The fish has Eve haemoglobins (Hb C, Hb 0, Hb 1, Hb 2 and Hb 3) with I-Ib 1 accounting for 70-80% of the total, and Hb C being present in trace amounts. Hb 1 and Hb 2 are functionally similar in terms of Bohr and Root effects. Hb 3 has a weaker Bohr effect than Hb 1 and Hb 2, and the Root effect is similar to that of Hb 1. Hb 0 has a strong Bohr effect and the Root effect is enhanced to a larger extent by the physiological effecters chlorides and phosphates than that of the other components with the exception of Nb C. The heats of oxygenation are lower than those of temperate fish haemoglobins. Temperature variations may have a different effect on the functional properties of each haemoglobin, and chloride and phosphates may play an important role in the conformational change between the oxy and deoxy structures. The complete amino acid sequences of Hb 1 and Hb 0, as well as partial N-terminal or internal sequences of the other haemoglobins, have been established. The high multiplicity of functionally distinct haemoglobins indicates that P. borchgrevinki has a specialized haemoglobin system. (C) 2000 The Fisheries Society of the British Isles.</t>
  </si>
  <si>
    <t>CNR, Inst Prot Biochem &amp; Enzymol, I-80125 Naples, Italy</t>
  </si>
  <si>
    <t>Consiglio Nazionale delle Ricerche (CNR); Istituto di Biochimica delle Proteine (IBP-CNR)</t>
  </si>
  <si>
    <t>di Prisco, G (corresponding author), CNR, Inst Prot Biochem &amp; Enzymol, Via Marconi 12, I-80125 Naples, Italy.</t>
  </si>
  <si>
    <t>TAMBURRINI, MAURIZIO/0000-0001-5987-0957</t>
  </si>
  <si>
    <t>ACADEMIC PRESS LTD</t>
  </si>
  <si>
    <t>0022-1112</t>
  </si>
  <si>
    <t>J FISH BIOL</t>
  </si>
  <si>
    <t>J. Fish Biol.</t>
  </si>
  <si>
    <t>10.1006/jfbi.2000.1611</t>
  </si>
  <si>
    <t>382RX</t>
  </si>
  <si>
    <t>WOS:000165837200003</t>
  </si>
  <si>
    <t>Cocca, E; Detrich, HW; Parker, SK; di Prisco, G</t>
  </si>
  <si>
    <t>A cluster of four globin genes from the Antarctic fish Notothenia coriiceps</t>
  </si>
  <si>
    <t>globin gene cluster; developmental expression; Antarctic fish; channichthyids</t>
  </si>
  <si>
    <t>AMINO-ACID-SEQUENCE; TROUT SALMO-IRIDEUS; ADULT ALPHA-GLOBIN; NUCLEOTIDE-SEQUENCE; MESSENGER-RNA; HEMOGLOBIN-IV; BETA-CHAIN; EVOLUTION; DNA; EXPRESSION</t>
  </si>
  <si>
    <t>The blood of Channichthyidae, the most phyletically derived notothenioid family, is devoid of haemoglobin (Nb). Three of the 15 channichthyid species retain inactive genomic remnants of the major adult notothenioid alpha -globin gene, but have lost the gene encoding adult beta -globin. In an attempt to understand the mutational events leading to loss of globin expression in channichthyids, the organisation of globin genes in red-blooded notothenioid species was examined. Globin genes in fish are often organised as alpha/beta pairs linked in 5' to 5' orientation, and the major adult alpha- and beta -globins of the Antarctic yellowbelly rockcod Notothenia coriiceps have this organisation. A second globin gene cluster from N. coriiceps contains two sets of linked alpha- and beta -globin genes but the deduced amino acid sequences of the globins differ from those of the adult globins. To lest the hypothesis that the globins may be expressed at different stages of ontogenesis, total RNA from head kidney and erythrocytes of adult and juvenile N. coriiceps were probed for transcripts corresponding to the four globin genes. The data suggest that the globin genes of this cluster are transcribed maximally in the early phase of development. Southern analysis of the genomes of red- and white-blooded notothenioids revealed that the genes of this complex are absent in Hb-less icefish. (C) 2000 The Fisheries Society of the British Isles.</t>
  </si>
  <si>
    <t>CNR, Inst Prot Biochem &amp; Enzymol, I-80125 Naples, Italy; Northeastern Univ, Dept Biol, Boston, MA 02115 USA</t>
  </si>
  <si>
    <t>Consiglio Nazionale delle Ricerche (CNR); Istituto di Biochimica delle Proteine (IBP-CNR); Northeastern University</t>
  </si>
  <si>
    <t>di Prisco, G (corresponding author), CNR, Inst Prot Biochem &amp; Enzymol, I-80125 Naples, Italy.</t>
  </si>
  <si>
    <t>Cocca, Ennio/AAY-3817-2020</t>
  </si>
  <si>
    <t>Cocca, Ennio/0000-0003-2432-9663</t>
  </si>
  <si>
    <t>WOS:000165837200004</t>
  </si>
  <si>
    <t>Eastman, JT; McCune, AR</t>
  </si>
  <si>
    <t>Fishes on the Antarctic continental shelf: evolution of a marine species flock?</t>
  </si>
  <si>
    <t>Antarctica; Notothenioidei; continental shelf; species flock</t>
  </si>
  <si>
    <t>MITOCHONDRIAL-DNA; CICHLID FISHES; WEDDELL SEA; LAKE BAIKAL; ANTIFREEZE GLYCOPEPTIDES; MOLECULAR EVOLUTION; ADAPTIVE RADIATION; COTTOID FISHES; METABOLIC-RATE; NOTOTHENIIDAE</t>
  </si>
  <si>
    <t>Distance, currents, deep water and sub-zero temperatures isolate the waters of the Antarctic continental shelf from other shelf areas in the Southern Hemisphere. The Antarctic shelf is an insular evolutionary site for a variety of marine organisms. The fish fauna is relatively small and unusual in composition, consisting of 213 species with higher taxonomic diversity restricted to 18 families. Ninety-six species of perciform notothenioids comprise 45% of the fish fauna. However in many areas of the shelf, including the highest latitudes, notothenioids make up 77% of the species and 90-95% of fish abundance and biomass. Notothenioids are morphologically and ecologically diverse and have diversified into niches in the water column. Antarctic notothenioids were evaluated using criteria employed for assessing freshwater species flocks. Although monophyly is in question. notothenioids exhibit the disproportionate speciosity (5.6-fold more Antarctic than non-Antarctic species) and high endemism (97%) characteristic of a species flock. Notothenioids are one of the first recognized examples of a species flock of marine fishes. Notothenioids are compared with some freshwater species flocks and calculations made of the time required for speciation (TFS) for notothenioids of the family Channichthyidae. Estimates of TFS are slower than for most lacustrine species flocks but similar to estimates for island radiations of birds and arthropods. (C) 2000 The Fisheries Society of the British Isles.</t>
  </si>
  <si>
    <t>Ohio Univ, Coll Osteopath Med, Dept Biomed Sci, Athens, OH 45701 USA; Cornell Univ, Dept Ecol &amp; Evolutionary Biol, Ithaca, NY 14853 USA</t>
  </si>
  <si>
    <t>University System of Ohio; Ohio University; Cornell University</t>
  </si>
  <si>
    <t>Eastman, JT (corresponding author), Ohio Univ, Coll Osteopath Med, Dept Biomed Sci, Athens, OH 45701 USA.</t>
  </si>
  <si>
    <t>Eastman, Joseph T/A-9786-2008; Eastman, Joseph T./O-6150-2019</t>
  </si>
  <si>
    <t>Eastman, Joseph T./0000-0003-3868-261X</t>
  </si>
  <si>
    <t>10.1111/j.1095-8649.2000.tb02246.x</t>
  </si>
  <si>
    <t>WOS:000165837200007</t>
  </si>
  <si>
    <t>Everson, I; Kock, KH; Ellison, J</t>
  </si>
  <si>
    <t>Inter-annual variation in the gonad cycle of the mackerel icefish</t>
  </si>
  <si>
    <t>mackerel icefish; Champsocephalus gunnari; spawning; reproduction; gonad maturation</t>
  </si>
  <si>
    <t>CHAMPSOCEPHALUS-GUNNARI; OVARIAN DEVELOPMENT; REPRODUCTION; MATURATION; GROWTH; SALMON; FISH</t>
  </si>
  <si>
    <t>Spawning by Antarctic fish is generally considered to be seasonal and restricted to a brief period during the autumn and winter. Arising from this it has been assumed that the gonadal maturation cycle is also closely associated with the time of year. The gonad maturation cycle of the mackerel icefish Champsocephalus gunnari was investigated using data collected during research surveys and from sampling the commercial fishery. Spawning appears to occur at the same time each year, but the timing of gonadal development is subject to a considerable inter-annual variation. The implications of this variation are discussed with respect to feeding conditions. (C) 2000 The Fisheries Society of the British Isles.</t>
  </si>
  <si>
    <t>British Antarctic Survey, NERC, Cambridge CB3 0ET, England; Inst Seefischerei, Bundesforsch Anstalt Fischerei, Hamburg, Germany; Univ Leicester, Dept Zool, Leicester LE1 7RH, Leics, England</t>
  </si>
  <si>
    <t>UK Research &amp; Innovation (UKRI); Natural Environment Research Council (NERC); NERC British Antarctic Survey; University of Leicester</t>
  </si>
  <si>
    <t>Everson, I (corresponding author), British Antarctic Survey, NERC, Madingley Rd, Cambridge CB3 0ET, England.</t>
  </si>
  <si>
    <t>I.Everson@bas.ac.uk</t>
  </si>
  <si>
    <t>10.1006/jfbi.2000.1601</t>
  </si>
  <si>
    <t>WOS:000165837200008</t>
  </si>
  <si>
    <t>Powell, MD; Forster, ME; Davison, W</t>
  </si>
  <si>
    <t>In vitro carbon dioxide excretion from erythrocytes of two species of Antarctic fishes and its inhibition by catecholamines</t>
  </si>
  <si>
    <t>haldane effect; catecholamines; Pagothenia borchgrevinki; Dissostichus mawsoni; carbon dioxide excretion</t>
  </si>
  <si>
    <t>RED-BLOOD-CELLS; RAINBOW-TROUT; IN-VITRO; ONCORHYNCHUS-MYKISS; EXHAUSTIVE EXERCISE; NA+/H+ EXCHANGE; ACTIVATION; TRANSPORT; INVITRO; OXYGEN</t>
  </si>
  <si>
    <t>This study was designed to investigate whether the blood of Pagothenia borchgrevinki exhibits a Haldane effect, and whether activation of a Na+/H+ antiporter increases transport of intracellular protons and Bohr protons out of the erythrocytes resulting in inhibition of CO2 excretion in both P. borchgrevinki and Dissostichus mawsoni. When carbon dioxide dissociation curves were determined from blood samples pooled from three fish under oxygenated and deoxygenated conditions a Haldane effect was observed. Using an in vitro CO2 excretion assay, the rate of HCO3- dehydration was determined on blood and plasma equilibrated under an N-2 atmosphere then rapidly oxygenated with air in the presence of 10(-5) M noradrenaline or acetazolamide (10(-4) M). Whole blood and plasma from P. borchgrevinki and D. mawsoni were equilibrated with 0.5% CO2 in air and assayed in the presence of 10(-5) M noradrenaline. Erythrocyte CO2 excretion rates were depressed significantly by noradrenaline in both species. The whole blood HCO3- dehydration rate was depressed significantly following rapid oxygenation in the presence of acetazolamide indicating that the pathway of CO2 excretion included activation of intracellular carbonic anhydrase and an adrenergic receptor. (C) 2000 The Fisheries Society of the British Isles.</t>
  </si>
  <si>
    <t>Univ Tasmania, Sch Aquaculture, Launceston, Tas 7250, Australia; Univ Canterbury, Dept Zool, Christchurch 1, New Zealand</t>
  </si>
  <si>
    <t>University of Tasmania; University of Canterbury</t>
  </si>
  <si>
    <t>Powell, MD (corresponding author), Univ Tasmania, Sch Aquaculture, Locked Bag 1-370, Launceston, Tas 7250, Australia.</t>
  </si>
  <si>
    <t>WOS:000165837200009</t>
  </si>
  <si>
    <t>Icardo, JM; Colvee, E; Cerra, MC; Tota, B</t>
  </si>
  <si>
    <t>The bulbus arteriosus of stenothermal and temperate teleosts: a morphological approach</t>
  </si>
  <si>
    <t>bulbus arteriosus; teleost; structure; Notothenioids</t>
  </si>
  <si>
    <t>BLOODED TREMATOMUS-BERNACCHII; CHIONODRACO-HAMATUS; ANTARCTIC TELEOSTS; FUNCTIONAL-MORPHOLOGY; HEART; ICEFISH</t>
  </si>
  <si>
    <t>The bulbus arteriosus, 'windkessel', of several species of stenothermal and temperate teleosts has been studied by conventional light microscopy and electron microscopy. The bulbus wall is divided into an endocardium, ridges, and middle and external layers. The endocardium of all species shows moderately-dense bodies, which vary widely although the significance is not known. The endocardium in Antarctic teleosts invaginates into the ridge tissue to form solid epithelial cords that show signs of active secretion related to protective substances. Cords also form in serranidic and sparidic species, but signs of active secretion are not evident. The ridges consist of cells within a filamentous meshwork. Ridge cells appear to be smooth muscle cells that undergo a phenotypic transition from the endocardium toward the middle layer. Middle layer cells are typical smooth muscle cells surrounded by a filamentous matrix. The appearance and composition of the extracellular matrix varies widely among species, with those from the Antarctic lacking collagen and elastin fibres. The external layer is a collagenous matrix that contains fibroblasts, blood vessels and nerves. In most Antarctic teleost species this layer lacks blood vessels, but contains nerve fibres. Some of these fibres could have a sensory function to control bulbus dilatation. The external layer of Trematomus bernacchii has the appearance of a germinal centre and may be involved in the immune humoral response. The epicardium is a tight epithelium that may control passage of substances with the pericardial cavity. (C) 2000 The Fisheries Society of the British Isles.</t>
  </si>
  <si>
    <t>Univ Cantabria, Dept Anat &amp; Cell Biol, Santander 39011, Spain; Univ Calabria, Dept Cell Biol, I-87030 Arcavacata Di Rende, Italy; Staz Zool Anton Dohrn, I-80121 Naples, Italy</t>
  </si>
  <si>
    <t>Universidad de Cantabria; University of Calabria; Stazione Zoologica Anton Dohrn di Napoli</t>
  </si>
  <si>
    <t>Icardo, JM (corresponding author), Univ Cantabria, Dept Anat &amp; Cell Biol, Santander 39011, Spain.</t>
  </si>
  <si>
    <t>icardojm@medi.unican.es</t>
  </si>
  <si>
    <t>Icardo, Jose Manuel/ABH-5431-2020</t>
  </si>
  <si>
    <t>Icardo, Jose Manuel/0000-0001-9543-2444; Cerra, Maria Carmela/0000-0002-2091-928X</t>
  </si>
  <si>
    <t>10.1006/jfbi.2000.1614</t>
  </si>
  <si>
    <t>WOS:000165837200010</t>
  </si>
  <si>
    <t>André, R; Pinnock, M; Rodger, AS</t>
  </si>
  <si>
    <t>Identification of the low-altitude cusp by Super Dual Auroral Radar Network radars:: A physical explanation for the empirically derived signature</t>
  </si>
  <si>
    <t>INTERPLANETARY MAGNETIC-FIELD; HIGH-LATITUDE IONOSPHERE; CHARGED-PARTICLE PRECIPITATION; ION ENERGIZATION MECHANISMS; BOUNDARY-LAYER CAMPAIGN; LOW-FREQUENCY WAVES; HF-RADAR; ELECTRIC-FIELD; POLAR CUSP; DAYSIDE IONOSPHERE</t>
  </si>
  <si>
    <t>The Super Dual Auroral Radar Network (SuperDARN) radars are proving to be a very powerful experimental tool for exploring solar wind-magnetosphere-ionosphere interactions. They measure the autocorrelation function (ACF) of the signal backscattered from ionospheric irregularities, and they derive parameters such as the Doppler velocity and the spectral width. The associated spectra have a specific behavior inside the cusp, a strong temporal and spatial evolution of the velocity and spectral width, and a high value of the spectral width. Until now, no studies have explained these characteristics, but they are routinely used to detect the cusp in the radar data, for example, to estimate the location of the open/closed field line boundary. Both satellite and ground-based magnetometer data from the cusp region show broadband wave activity in the Pc1 and Pc2 frequency band. In this study we evaluate how such wave activity modifies the radar's ACF and we conclude that it explains the spectra seen in the cusp. More specifically, we find that (1) even a monochromatic electric field variation can cause apparently turbulent behavior, including wide spectral widths and apparent multiple components, (2) even low-amplitude waves are capable of causing large spectral widths, if the frequency is sufficiently high, (3) for a fixed low-amplitude electric field variation the measured spectral width increases with wave frequency, displaying a sharp transition from low to high spectral width above an onset frequency, and (4) the determination of the background velocity field is not strongly affected by such conditions. While the wave activity is shown to have a major impact on the spectral width, it is found that the radar does accurately represent the large-scare plasma velocity.</t>
  </si>
  <si>
    <t>raandre@cnrs-orleans.fr</t>
  </si>
  <si>
    <t>A12</t>
  </si>
  <si>
    <t>10.1029/2000JA900071</t>
  </si>
  <si>
    <t>386BL</t>
  </si>
  <si>
    <t>WOS:000166040200002</t>
  </si>
  <si>
    <t>Munakata, K; Bieber, JW; Yasue, S; Kato, C; Koyama, M; Akahane, S; Fujimoto, K; Fujii, Z; Humble, JE; Duldig, ML</t>
  </si>
  <si>
    <t>Precursors of geomagnetic storms observed by the muon detector network</t>
  </si>
  <si>
    <t>FORBUSH DECREASE; SHOCK</t>
  </si>
  <si>
    <t>We report the first systematic survey of cosmic ray precursors of geomagnetic storms. Our data set comprises the 14 major geomagnetic storms (peak K-P greater than or equal to 8-) identified by Gosling et al. I:1990] together with 25 large storms (peak K-P greater than or equal to 7-) observed from 1992 through 1998. After eliminating events for which the muon detector network had poor coverage of the sunward interplanetary magnetic field (IMF) direction, we determined that 15 of the remaining 22 events (68%) had identifiable cosmic ray precursors with typical lead times ranging from 6 to 9 hours prior to the storm sudden commencement (SSC). Of the 15 precursors, 10 were of the loss cone (LC) type which is characterized by an intensity deficit confined to a narrow pitch angle region around the sunward IMF direction. Cosmic rays in the loss cone presumably originate in the cosmic-ray-depleted region downstream of the approaching shock. The remaining five precursors were of the enhanced variance (EV) type which is characterized by intensity increases or decreases that do not systematically align with the IMF direction. The incidence of precursors increases with storm size; for instance, 89% of storms with peak K-P greater than or equal to 8.0 had precursors. Our results show that the muon detector network can be a useful tool in space weather forecasting. However, new detector(s) installed to fill major gaps in the present network are urgently required for better understanding the nature of precursors and for reliable space weather forecasting.</t>
  </si>
  <si>
    <t>Shinshu Univ, Fac Sci, Dept Phys, Matsumoto, Nagano 3908621, Japan; Univ Delaware, Bartol Res Inst, Newark, DE 19716 USA; Nagoya Univ, Nagoya, Aichi 4648610, Japan; Nagoya Univ, Solar Terr Environm Lab, Nagoya, Aichi 4648601, Japan; Univ Tasmania, Sch Math &amp; Phys, Hobart, Tas 7001, Australia; Australian Antarctic Div, Kingston, Tas 7050, Australia</t>
  </si>
  <si>
    <t>Shinshu University; University of Delaware; Nagoya University; Nagoya University; University of Tasmania; Australian Antarctic Division</t>
  </si>
  <si>
    <t>Shinshu Univ, Fac Sci, Dept Phys, Matsumoto, Nagano 3908621, Japan.</t>
  </si>
  <si>
    <t>kmuna00@gipac.shinshu-u.ac.jp; JOHN@bartol.udel.edu; fujimoto@nagoyo-wu.ac.jp; fujii@stelab.nagoya-u.ac.jp; john.humble@utas.edu.au; Marc.Duldig@utas.edu.au</t>
  </si>
  <si>
    <t>Humble, John/0000-0002-4698-1671; Duldig, Marcus/0000-0001-7463-8267</t>
  </si>
  <si>
    <t>10.1029/2000JA000064</t>
  </si>
  <si>
    <t>WOS:000166040200032</t>
  </si>
  <si>
    <t>Pilipenko, VA; Fedorov, EN; Engebretson, MJ; Papitashvili, VO; Watermann, JF</t>
  </si>
  <si>
    <t>Poleward progressing quasiperiodic disturbances at cusp latitudes: The role of wave processes</t>
  </si>
  <si>
    <t>IMF B-Y; IONOSPHERIC CONVECTION; PULSATIONS VLP; ALFVEN WAVES; RECONNECTION; MODULATION; COMPONENT</t>
  </si>
  <si>
    <t>Observations from various magnetometer networks, including Magnetomer Array for Cusp and Cleft Studies (MACCS), Canadian Auroral Network for the OPEN Program Unified Study (CANOPUS), the Greenland Coastal Chain, and the U.S./Russia Antarctic Array, made on January 5, 1995, show an event of very long period pulsations (30- to 40-min period) in the cusp region. Pulsations were driven by quasiperiodic Interplanetary Magnetic Field (IMF) B-y, variations which were observed by the Wind spacecraft. Disturbances of this type are commonly interpreted as poleward moving, east-west oriented ionospheric currents (e.g., intensification of the DPY current system), stimulated by reconnection processes at the dayside magnetopause. However, the temporal/spatial, ground-based structure of such disturbances can better be described if this picture is augmented by the inclusion of transient wave processes, for example, distortions of the Alfven phase front, transmitting a disturbance from an assumed reconnection region to the ionosphere. In general, this type of disturbance, which we suggest calling P(DPY)6 pulsations, is shown to be a manifestation of the modulation of the high-latitude ionosphere electrodynamics by a large-scale Alfven wave in the solar wind under favorable IMF orientation.</t>
  </si>
  <si>
    <t>Danish Inst Fundamental Metrol, DK-2100 Copenhagen, Denmark; Inst Phys Earth, Moscow 123810, Russia; Augsburg Coll, Dept Phys, Minneapolis, MN 55454 USA; Univ Michigan, Space Phys Res Lab, Ann Arbor, MI 48109 USA</t>
  </si>
  <si>
    <t>Danish Fundamental Metrology; Russian Academy of Sciences; Schmidt Institute of Physics of the Earth of the Russian Academy of Sciences; Augsburg University; University of Michigan System; University of Michigan</t>
  </si>
  <si>
    <t>Danish Inst Fundamental Metrol, Lyngbyvej 100, DK-2100 Copenhagen, Denmark.</t>
  </si>
  <si>
    <t>vp@dmi.dk; fedorov@uipe-ras.scgis.ru; engebret@augsburg.edu; vap@dmi.dk; jfw@dmi.dk</t>
  </si>
  <si>
    <t>Fedorov, Evgeny/AAZ-5039-2020</t>
  </si>
  <si>
    <t>Papitashvili, Vladimir/0000-0001-6955-4894</t>
  </si>
  <si>
    <t>10.1029/2000JA900076</t>
  </si>
  <si>
    <t>WOS:000166040200042</t>
  </si>
  <si>
    <t>Horne, RB; Wheeler, GV; Alleyne, HSK</t>
  </si>
  <si>
    <t>Proton and electron heating by radially propagating fast magnetosonic waves</t>
  </si>
  <si>
    <t>ION DISTRIBUTIONS; MAGNETIC EQUATOR; AMPTE-CCE; ULF WAVES; RING; PLASMA; STORM; GENERATION; REGION; MODEL</t>
  </si>
  <si>
    <t>We investigate the propagation, growth, and decay of fast magnetosonic waves in the Earth's magnetosphere which are believed to contribute to proton heating up to energies of a few hundred eV near the magnetic equator. We construct a model of the proton and electron distribution functions from spacecraft data and use the HOTRAY code to calculate the path-integrated growth and decay of the waves over a range of L shells from L = 2 to L = 7. instability calculations show that the waves are excited at very large angles of propagation with respect to the magnetic field, psi approximate to 89 degrees, at the harmonics of the proton gyrofrequency Omega (H+) up to the lower hybrid resonance frequency omega (LHR) by a proton ring distribution at energies of the order of 10 keV. As a rule of thumb, we find that growth is possible for omega &gt; 30 Omega (H+) when the ring velocity exceeds the Alfven speed nu (R) &gt; nu (A), and for omega &lt; 30Omega&gt;(H+) when nu (R) &gt; 2 nu (A) For propagation in the meridian plane, waves generated just outside the plasmapause grow with large amplification as they propagate away from the Earth but eventually lose energy to plasma sheet electrons at energies of a few keV by Landau damping. The waves grow to large amplification at frequencies just below omega (LHR) For inward propagation we find that waves generated just outside the plasmapause can propagate to L approximate to 2 with very little attenuation, suggesting that waves observed well inside the plasmasphere could originate from a source region just outside the plasmapause. Strong wave growth only occurs for large angles of propagation, and thus the waves are confined to within a few degrees of the magnetic equator. Waves generated near geostationary orbit and which propagate toward the Earth are absorbed by Doppler-shifted cyclotron resonance when they propagate into a region where nu (R) nu&gt;(A). Cyclotron resonant absorption causes pitch angle scattering and heating transverse to the ambient magnetic field. The amount of absorption, and hence transverse proton heating, increases significantly as the thermal proton temperature is increased up to 100 eV, suggesting a feedback process. Ray tracing shows that transverse heating of the thermal proton distribution is most likely to occur just outside the plasmapause where nu (A) is large. Since proton ring distributions are formed during magnetic storms at ring current energies, we suggest that fast magnetosonic waves provide an additional energy loss process for ring current decay.</t>
  </si>
  <si>
    <t>British Antarctic Survey, NERC, Cambridge CB3 0ET, England; Univ Sheffield, Dept Automat Control &amp; Syst Engn, Sheffield S1 3JD, S Yorkshire, England</t>
  </si>
  <si>
    <t>UK Research &amp; Innovation (UKRI); Natural Environment Research Council (NERC); NERC British Antarctic Survey; University of Sheffield</t>
  </si>
  <si>
    <t>r.horne@bas.ac.uk; h.alleyne@sheffield.ac.uk</t>
  </si>
  <si>
    <t>Horne, Richard B/U-3764-2019</t>
  </si>
  <si>
    <t>Horne, Richard B/0000-0002-0412-6407</t>
  </si>
  <si>
    <t>10.1029/2000JA000018</t>
  </si>
  <si>
    <t>WOS:000166040200044</t>
  </si>
  <si>
    <t>Goeyens, L; Elskens, M; Catalano, G; Lipizer, M; Hecq, JH; Goffart, A</t>
  </si>
  <si>
    <t>Nutrient depletions in the Ross Sea and their relation with pigment stocks</t>
  </si>
  <si>
    <t>30th International Liege Colloquium on Ocean Hydrodynamics</t>
  </si>
  <si>
    <t>MAY 04-08, 1998</t>
  </si>
  <si>
    <t>LIEGE, BELGIUM</t>
  </si>
  <si>
    <t>Ross Sea; nutrient depletions; phytopigments</t>
  </si>
  <si>
    <t>PARTICULATE ORGANIC-MATTER; NITROGEN UPTAKE REGIME; WEDDELL-SCOTIA SEA; MARGINAL ICE-ZONE; SOUTHERN-OCEAN; PRIMARY PRODUCTIVITY; PHYTOPLANKTON BIOMASS; BRANSFIELD STRAIT; SPATIAL PATTERNS; ANTARCTIC OCEAN</t>
  </si>
  <si>
    <t>The present article depicts a first attempt to relate the governing nutrient uptake regime and phytopigment signature of the Ross Sea. Based on nutrient and phytopigment data obtained during two cruises in the Ross Sea, two distinct groups were recognised. The first one was characterised by moderate nutrient (nitrate and silicic acid) depletions in combination with relatively high diatom and Phaeocystis abundance. The second group showed very low nutrient depletions and very poor diatom abundance. Average depth specific nitrate depletions were 8.1 and 1.1 muM and average silicic acid depletions were 21.5 and 1.3 muM, respectively. The nutrient consumption patterns did not match the conditions of silicic acid excess (SEA) or nitrate excess areas (NEA), a clear trend being probably obscured by very poor seasonal maturity of several sampling stations. The contrast between both groups is largely explained by small differences in nitrogen uptake regime of the major phytoplankters. During early season, the diatoms meet the majority of their nitrogen requirements by nitrate uptake, with few exceptions where ammonium is the most important nitrogenous substrate. On average, their nitrate uptake capacity is lower than that of Phaeocystis (average specific nitrate uptake rates were 0.021 and 0.036 day(-1) for diatoms and Phaeocystis, respectively). The latter phytoplankton always shows predominance of nitrate uptake. Both groups are subject to inhibition of nitrate uptake when ammonium availability increases, and it is likely that the diatoms are more sensitive to the inhibitory effect of ammonium. (C) 2000 Elsevier Science B.V. All rights reserved.</t>
  </si>
  <si>
    <t>Free Univ Brussels, Analyt Chem Lab, B-1050 Brussels, Belgium; Ist Sperimentale Talassog, I-34123 Trieste, Italy; Univ Liege, Unite Ecohydrodynam B5, B-4000 Liege, Sart Tilman, Belgium</t>
  </si>
  <si>
    <t>Universite Libre de Bruxelles; University of Liege</t>
  </si>
  <si>
    <t>Goeyens, L (corresponding author), Free Univ Brussels, Analyt Chem Lab, Pleinlaan 2, B-1050 Brussels, Belgium.</t>
  </si>
  <si>
    <t>leo.goeyens@ihe.be</t>
  </si>
  <si>
    <t>Lipizer, Marina/KAM-2054-2024</t>
  </si>
  <si>
    <t>Lipizer, Marina/0000-0001-5707-6338; Elskens, Marc/0000-0002-8862-9422</t>
  </si>
  <si>
    <t>10.1016/S0924-7963(00)00067-1</t>
  </si>
  <si>
    <t>379WT</t>
  </si>
  <si>
    <t>WOS:000165666700010</t>
  </si>
  <si>
    <t>Hense, I; Bathmann, UV; Timmermann, R</t>
  </si>
  <si>
    <t>Plankton dynamics in frontal systems of the Southern Ocean</t>
  </si>
  <si>
    <t>plankton model; frontal system; silica and nitrogen; uptake ratio; iron limitation</t>
  </si>
  <si>
    <t>BIOGENIC SILICA; PHYTOPLANKTON GROWTH; ANTARCTIC DIATOMS; ATLANTIC SECTOR; HIGH NUTRIENT; WEDDELL SEA; MIXED LAYER; MODEL; IRON; DISSOLUTION</t>
  </si>
  <si>
    <t>A Biological Model of the Antarctic Polar Front (BIMAP) has been developed. The model comprises two biochemical cycles, silica and nitrogen, and five to seven compartments. Model runs are initialized using the WOCE data set and forced by an annual cycle of solar radiation and mixed layer depth. Sensitivity experiments indicate that disregarding remineralization and dissolution of silica does not affect phyto- and zooplankton biomass significantly. Experiments with different half saturation constants of silicate uptake indicate that values between 4 and 8 are reasonable for the plankton community at the Antarctic Polar Front. The role of iron limitation is investigated using different Si:N uptake ratios and reduced growth rates. While reducing the maximum growth rate leads only to slightly lower phyto- and zooplankton biomasses, different Si:N uptake ratios affect the development and maximum of plankton biomass significantly. Specifically, primary production and plankton biomass are strongly reduced by increasing the silica to nitrogen uptake ratio to values greater than 2. An Si:N uptake ratio between 2 and 4 appears to be reasonable for the region of the Polar Front. (C) 2000 Elsevier Science B.V. All rights reserved.</t>
  </si>
  <si>
    <t>Alfred Wegener Inst Polar &amp; Meeresforsch, D-27515 Bremerhaven, Germany</t>
  </si>
  <si>
    <t>Hense, I (corresponding author), Alfred Wegener Inst Polar &amp; Meeresforsch, Postfach 120161, D-27515 Bremerhaven, Germany.</t>
  </si>
  <si>
    <t>10.1016/S0924-7963(00)00070-1</t>
  </si>
  <si>
    <t>WOS:000165666700013</t>
  </si>
  <si>
    <t>di Prisco, G</t>
  </si>
  <si>
    <t>Life style and biochemical adaptation in Antarctic fishes</t>
  </si>
  <si>
    <t>Antarctica; cold adaptation; fish; Notothenioidei; hemoglobin; enzyme</t>
  </si>
  <si>
    <t>AMINO-ACID-SEQUENCE; PAGOTHENIA-BERNACCHII; HEMOGLOBIN SYSTEM; ALPHA-GLOBIN; PLEURAGRAMMA-ANTARCTICUM; TREMATOMUS-NEWNESI; CRYSTAL-STRUCTURE; COLD ADAPTATION; ICEFISHES; GENES</t>
  </si>
  <si>
    <t>Respiration and metabolism are under investigation in Antarctic fish, in an effort to understand the interplay between ecology and biochemical and physiological processes. Fish of the dominant suborder Notothenioidei are red-blooded, except Channichthyidae (the most phyletically derived family), whose genomes retain transcriptionally inactive DNA sequences closely related to the alpha -globin gene of red-blooded notothenioids and have lost the beta -globin locus. Our structure/function studies on 38 of the 80 red-blooded species are: aimed at correlating sequence, multiplicity and oxygen binding with ecological constraints and at obtaining phylogenetic information on evolution. For comparative purposes, this work has been extended to non-Antarctic notothenioids. Ail sluggish bottom dwellers have a single major hemoglobin (Hb) and often a minor, functionally similar one. Three species of the family Nototheniidae have different life styles. They have uniquely specialised oxygen-transport systems, adjusted to the mode of life of each species. Artedidraconidae have a single Hb, lacking oxygen-binding cooperativity, similar to the ancestral hemoproteins of primitive organisms. The amino acid sequences are currently used in the molecular modelling approach. The study of several enzymes with key roles in metabolism (e.g. glucose-6-phosphate dehydrogenase, L-glutamate dehydrogenase, phosphorylase b, carbonic anhydrase) indicate that some aspects of the molecular structure (e.g. molecular mass, number of subunits, amino acid sequence, temperature of irreversible heat inactivation) have been conserved during development of cold adaptation. However, high catalytic efficiency, possibly due to subtle molecular changes, is observed at low temperature. (C) 2000 Elsevier Science B.V. All rights reserved.</t>
  </si>
  <si>
    <t>di Prisco, G (corresponding author), CNR, Inst Prot Biochem &amp; Enzymol, Via Marconi 10, I-80125 Naples, Italy.</t>
  </si>
  <si>
    <t>10.1016/S0924-7963(00)00071-3</t>
  </si>
  <si>
    <t>WOS:000165666700014</t>
  </si>
  <si>
    <t>Joiris, CR</t>
  </si>
  <si>
    <t>Summer at-sea distribution of seabirds and marine mammals in polar ecosystems: a comparison between the European Arctic seas and the Weddell Sea, Antarctica</t>
  </si>
  <si>
    <t>seabirds; cetaceans; pinnipeds; European Arctic; Antarctica</t>
  </si>
  <si>
    <t>ECOLOGICAL ROLE; GREENLAND; CARBON; ZONE</t>
  </si>
  <si>
    <t>The summer at-sea distribution of seabirds and marine mammals was quantitatively established both in Antarctica (Weddell Sea) and in the European Arctic: Greenland, Norwegian and Barents seas. Data can directly be compared, since the same transect counts were applied by the same team from the same icebreaking ship in both regions. The main conclusion is that densities of seabirds and marine mammals are similar in open water and at the ice edge from both polar regions, while the presence of Adelie penguins, minke whales and crabeater seals in densities more than one order of magnitude higher in Antarctic pack-ice must reflect a major ecological difference between both polar systems. The ecological implications of these observations are discussed, especially concerning important primary and secondary (krill) productions under the Weddell Sea pack-ice. (C) 2000 Elsevier Science B.V. All rights reserved.</t>
  </si>
  <si>
    <t>Free Univ Brussels, Lab Polar Ecol, B-1050 Brussels, Belgium</t>
  </si>
  <si>
    <t>Universite Libre de Bruxelles</t>
  </si>
  <si>
    <t>Joiris, CR (corresponding author), Free Univ Brussels, Lab Polar Ecol, Pleinlaan 2, B-1050 Brussels, Belgium.</t>
  </si>
  <si>
    <t>10.1016/S0924-7963(00)00072-5</t>
  </si>
  <si>
    <t>WOS:000165666700015</t>
  </si>
  <si>
    <t>Phillips, HE; Rintoul, SR</t>
  </si>
  <si>
    <t>Eddy variability and energetics from direct current measurements in the Antarctic Circumpolar Current south of Australia</t>
  </si>
  <si>
    <t>BETA-PLANE CHANNEL; GULF-STREAM; DRAKE PASSAGE; KUROSHIO EXTENSION; MOMENTUM BALANCE; VERTICAL MOTION; WIND-DRIVEN; HEAT-FLUX; OCEAN; MODEL</t>
  </si>
  <si>
    <t>Two-year time series measurements of current velocity and temperature in the Subantarctic Front (SAF) south of Australia from 1993 to 1995 provide estimates of eddy fluxes of heat and momentum across the Antarctic Circumpolar Current (ACC) and further insight into the variability of the ACC. The SAF was found to be an energetic, meandering jet with vertically coherent fluctuations varying on a timescale of 20 days with typical amplitude 30 cm s(-1) at 1150 dbar. A daily varying coordinate frame that follows the direction of flow allowed mesoscale variability of the SAF to be isolated from variability due to meandering of the front and proved very successful for examining eddy fluxes. Vertically averaged cross-stream eddy heat flux was 11.3 kW m(-2) poleward and significantly different from zero at 95% for fluctuations in the 2-90 day band. Zonally integrated, this eddy heat flux (=0.9 PW) is more than large enough to balance heat lost south of the Polar Front and is as large as cross-SAF fluxes found in Drake Passage. Cross-stream eddy momentum fluxes were small, not significantly different from zero, and of indeterminate sign, but tending to decelerate the mean flow. A relationship between vertical motion and meander phase identified in the Gulf Stream was found to hold for the ACC. Eddy kinetic energy levels were similar to those in Drake Passage and southeast of New Zealand. Eddy potential energy was up to an order of magnitude larger than at other ACC sites, most likely because meandering of the front is more common here. Baroclinic conversion was found to be the dominant mechanism by which eddies grow south of Australia. Typical eddy growth time is estimated to be 30 days, approximately twice as fast as in Drake Passage, consistent with eddy energy growing rapidly downstream.</t>
  </si>
  <si>
    <t>Univ Tasmania, Inst Antarctic &amp; So Ocean Studies, Hobart, Tas 7001, Australia; CSIRO, Div Marine Res, Hobart, Tas, Australia; Antarctic Cooperat Res Ctr, Hobart, Tas, Australia</t>
  </si>
  <si>
    <t>Woods Hole Oceanog Inst, Mail Stop 21,360 Woods Hole Rd, Woods Hole, MA 02543 USA.</t>
  </si>
  <si>
    <t>helen_ep@hotmail.com</t>
  </si>
  <si>
    <t>Phillips, Helen/I-3761-2013; Rintoul, Stephen R/A-1471-2012</t>
  </si>
  <si>
    <t>Phillips, Helen/0000-0002-2941-7577; Rintoul, Stephen R/0000-0002-7055-9876</t>
  </si>
  <si>
    <t>10.1175/1520-0485(2000)030&lt;3050:EVAEFD&gt;2.0.CO;2</t>
  </si>
  <si>
    <t>386AL</t>
  </si>
  <si>
    <t>WOS:000166037500003</t>
  </si>
  <si>
    <t>Marshall, DP</t>
  </si>
  <si>
    <t>Vertical fluxes of potential vorticity and the structure of the thermocline</t>
  </si>
  <si>
    <t>OCEAN CIRCULATION; TRACER TRANSPORTS; MESOSCALE EDDIES; HEAT-TRANSPORT; MODEL; DYNAMICS; LAYER</t>
  </si>
  <si>
    <t>A new framework for understanding the vertical structure of ocean gyres is developed based on vertical fluxes of potential vorticity. The key ingredient is an integral constraint that in a steady state prohibits a net flux of potential vorticity through any closed contour of Bernoulli potential or density. Applied to an ocean gyre, the vertical fluxes of potential vorticity associated with advection, friction, and buoyancy forcing must therefore balance in an integral sense. In an anticyclonic subtropical gyre, the advective and frictional potential vorticity fluxes are both directed downward, and buoyancy forcing is required to provide the compensating upward potential vorticity flux. Three regimes are identified: 1) a surface ventilated thermocline'' in which the upward potential vorticity flux is provided by buoyancy forcing within the surface mixed layer, 2) a region of weak stratification- mode water'' in which all three components of the potential vorticity flux become vanishingly small, and 3) an internal boundary layer thermocline'' at the base of the gyre where the upward potential vorticity flux is provided by the diapycnal mixing. Within a cyclonic subpolar gyre, the advective and frictional potential vorticity fluxes are directed upward and downward, respectively, and are thus able to balance without buoyancy forcing. Geostrophic eddies provide an additional vertical potential vorticity flux associated with slumping of isopycnals in baroclinic instability. Incorporating the eddy potential vorticity flux into the integral constraint provides insights into the role of eddies in maintaining the Antarctic Circumpolar Current and convective chimneys. The possible impact of eddies on the vertical structure of a wind-driven gyre is discussed.</t>
  </si>
  <si>
    <t>10.1175/1520-0485(2000)030&lt;3102:VFOPVA&gt;2.0.CO;2</t>
  </si>
  <si>
    <t>WOS:000166037500005</t>
  </si>
  <si>
    <t>Schmid, C; Siedler, G; Zenk, W</t>
  </si>
  <si>
    <t>Dynamics of intermediate water circulation in the subtropical South Atlantic</t>
  </si>
  <si>
    <t>ANTARCTIC MODE WATER; BENGUELA CURRENT; VENTILATED THERMOCLINE; NORTH-ATLANTIC; BRAZIL CURRENT; OCEAN; TRANSPORT; VARIABILITY; DRIVEN; LAYER</t>
  </si>
  <si>
    <t>The circulation of the low-salinity Antarctic Intermediate Water in the South Atlantic and the associated dynamical processes are studied, using recent and historical hydrographic profiles, Lagrangian and Eulerian current measurements as well as wind stress observations. The circulation pattern inferred for the Antarctic Intermediate Water supports the hypothesis of an anticyclonic basinwide recirculation of the intermediate water in the subtropics. The eastward current of the intermediate anticyclone is fed mainly by water recirculated in the Brazil Current and by the Malvinas Current. An additional source region is the Polar Frontal zone of the South Atlantic. The transport in the meandering eastward current ranges from 6 to 26 Sv (Sv = 10(6) m(3) s(-1)). The transport of the comparably uniform westward flow of the gyre varies between 10 and 30 Sv. Both transports vary with longitude. At the western boundary near 28 degreesS, in the Santos Bifurcation, the westward current splits into two branches. About three-quarters of the 19 Sv at 40 degreesW go south as an intermediate western boundary current. The remaining quarter flows northward along the western boundary. Simulations with a simple model of the ventilated thermocline reveal that the wind-driven subtropical gyre has a vertical extent of over 1200 m. The transports derived from the simulations suggest that about 90% of the transport in the westward branch of the intermediate gyre and about 50% of the transport in the eastward branch can be attributed to the wind-driven circulation. The structure of the simulated gyre deviates from observations to some extent. The discrepancies between the simulations and the observations are most likely caused by the interoceanic exchange south of Africa, the dynamics of the boundary currents, the nonlinearity, and the seasonal variability of the wind field. A simulation with an inflow/outflow condition for the eastern boundary reduces the transport deviations in the eastward current to about 20%. The results support the hypothesis that the wind field is of major importance for the subtropical circulation of Antarctic Intermediate Water followed by the interoceanic exchange. The simulations suggest that the westward transport in the subtropical gyre undergoes seasonal variations. The transports and the structure of the intermediate subtropical gyre from the Parallel Ocean Climate Model (Semtner-Chervin model) agree better with observations.</t>
  </si>
  <si>
    <t>Schmid, C (corresponding author), NOAA, Atlantic Oceanog &amp; Meteorol Lab, PHOD, 4301 Rickenbacker Causeway, Miami, FL 33149 USA.</t>
  </si>
  <si>
    <t>Schmid, Claudia/D-5875-2013</t>
  </si>
  <si>
    <t>10.1175/1520-0485(2000)030&lt;3191:DOIWCI&gt;2.0.CO;2</t>
  </si>
  <si>
    <t>WOS:000166037500011</t>
  </si>
  <si>
    <t>Speer, K; Rintoul, SR; Sloyan, B</t>
  </si>
  <si>
    <t>The diabatic Deacon cell</t>
  </si>
  <si>
    <t>ANTARCTIC CIRCUMPOLAR CURRENT; SOUTHERN-OCEAN; HYDROGRAPHIC SECTION; TRACER TRANSPORTS; MERIDIONAL CELLS; ATLANTIC OCEAN; CIRCULATION; FLUXES; WATER; HEAT</t>
  </si>
  <si>
    <t>Southern Ocean air-sea fluxes from the COADS dataset are examined for compatibility between buoyancy gain and northward Ekman transport. An analysis in density classes points to an upwelling of Upper Circumpolar Deep Water and subsequent buoyancy gain from air-sea exchange as water flows northward in the Ekman layer. The Upper Circumpolar Deep Water layer is too shallow to admit southward geostrophic flow along topography, and an eddy mass flux mechanism for southward transport in this layer to replenish the upwelling is advanced, based on observed large-scale potential vorticity gradients. Estimates of the strength and vertical structure of the meridional flow are given using repeated hydrographic sections and a new climatology.</t>
  </si>
  <si>
    <t>Florida State Univ, Dept Oceanog, Tallahassee, FL 32306 USA; CSIRO Marine Res &amp; Antarctic CRC, Hobart, Tas, Australia; Alfred Wegener Inst Polar &amp; Marine Res, D-2850 Bremerhaven, Germany</t>
  </si>
  <si>
    <t>State University System of Florida; Florida State University; Commonwealth Scientific &amp; Industrial Research Organisation (CSIRO); Helmholtz Association; Alfred Wegener Institute, Helmholtz Centre for Polar &amp; Marine Research</t>
  </si>
  <si>
    <t>Speer, K (corresponding author), Florida State Univ, Dept Oceanog, Tallahassee, FL 32306 USA.</t>
  </si>
  <si>
    <t>10.1175/1520-0485(2000)030&lt;3212:TDDC&gt;2.0.CO;2</t>
  </si>
  <si>
    <t>WOS:000166037500012</t>
  </si>
  <si>
    <t>Marinoni, L; Setti, M; Gauthier-Lafaye, F</t>
  </si>
  <si>
    <t>Surface carbonate and land-derived clastic marine sediments from southern Chile: mineralogical and geochemical investigation</t>
  </si>
  <si>
    <t>JOURNAL OF SOUTH AMERICAN EARTH SCIENCES</t>
  </si>
  <si>
    <t>Chile; Strait of Magellan; marine sediments; cold water carbonates; stable isotopes; mineralogy; elemental geochemistry</t>
  </si>
  <si>
    <t>TEMPERATE SHELF CARBONATES; TIERRA-DEL-FUEGO; ISOTOPIC COMPOSITION; PRECIPITATION RATE; NEW-ZEALAND; FRACTIONATION; ANTARCTICA; MAGELLAN; TASMANIA; CALCITE</t>
  </si>
  <si>
    <t>Surface carbonate and land-derived deposits in the sea off southern Chile were investigated for their mineralogical and geochemical composition. The data were related to environmental features and compared with those of similar temperate and polar carbonate deposits from Tasmania, New Zealand, Arctica, and Antarctica. The mineralogy of the siliciclastic fraction is typical of cold areas and is mainly composed of chlorite, mica, quartz, feldspars and amphibole. The CaCO3 content varies from 30 to 90%; carbonate mineralogy is made up of low-Mg calcite, high-Mg calcite and minor amounts of aragonite. The Ca, Mg, Sr, Fe, and Mn contents of bulk carbonates and some selected skeletal hard parts are comparable to those of carbonates from Tasmania. The elemental composition is mainly related to carbonate mineralogy, skeletal components, and seawater conditions. The delta C-13 and delta O-18 values of carbonates are positive, and their field falls between the seafloor diagenesis and upwelling water trend lines, because the sediments are likely to be in equilibrium with waters of Antarctic origin. The mineralogical, elemental, and isotopic compositions of carbonates from southern Chile show better similarities with the temperate carbonates from Tasmania and New Zealand than with the polar carbonates from Arctica and Antarctica. Carbonate deposition is allowed by the low terrigenous input, the low SPM concentration and, probably, the upwelling of seawater from Antarctica. (C) 2000 Elsevier Science Ltd. All rights reserved.</t>
  </si>
  <si>
    <t>Univ Pavia, Dipartimento Sci Terra, I-27100 Pavia, Italy; Univ Strasbourg, Ctr Geochim Surface, F-67084 Strasbourg, France</t>
  </si>
  <si>
    <t>University of Pavia; Universites de Strasbourg Etablissements Associes; Universite de Strasbourg</t>
  </si>
  <si>
    <t>Marinoni, L (corresponding author), Univ Pavia, Dipartimento Sci Terra, Via Ferrata 1, I-27100 Pavia, Italy.</t>
  </si>
  <si>
    <t>marinoni@crystal.unipv.it</t>
  </si>
  <si>
    <t>0895-9811</t>
  </si>
  <si>
    <t>J S AM EARTH SCI</t>
  </si>
  <si>
    <t>J. South Am. Earth Sci.</t>
  </si>
  <si>
    <t>10.1016/S0895-9811(00)00059-6</t>
  </si>
  <si>
    <t>401TU</t>
  </si>
  <si>
    <t>WOS:000166945000006</t>
  </si>
  <si>
    <t>Geiger, SP; Donnelly, J; Torres, JJ</t>
  </si>
  <si>
    <t>Effect of the receding ice-edge on the condition of mid-water fishes in the northwestern Weddell Sea: results from biochemical assays with notes on diet</t>
  </si>
  <si>
    <t>COD GADUS-MORHUA; ANTARCTIC MESOPELAGIC FISHES; METABOLIC ENZYME-ACTIVITIES; NUCLEIC-ACID CONTENT; ATLANTIC COD; GROWTH-RATE; VERTICAL-DISTRIBUTION; PROXIMATE COMPOSITION; SCIAENOPS-OCELLATUS; COMMUNITY STRUCTURE</t>
  </si>
  <si>
    <t>Electrona antarctica and Bathylagus antarcticus are dominant fishes in the Southern Ocean pelagic ecosystem with disparate life histories, making them excellent subjects for comparative studies. Twenty-one indices of nutritional condition were compared in both species by observing changes in each index as it varied spatially and temporally in association with the marginal ice-zone bloom in the northwestern Weddell Sea. E. antarctica and B. antarcticus exhibited very different patterns of response to the bloom. Nutritional condition increased in 11 of 21 measures in E. antarctica, suggesting that it was in poorer condition at ice-covered stations and in greatly improved condition in postbloom, open-water stations. The data, combined with a few observations of larvae, indicate that E. antarctica increases feeding before the spring bloom, rapidly building stores of lipid, which are probably used for spawning. In contrast, only three measures of condition were variable in B. antarcticus, and lipid actually decreased from ice-covered to open water. RNA:DNA values increased in open water, coinciding with an increase in food volume present in their guts. These observations, coupled with observations of larvae in ice-covered stations, suggest that B. antarcticus possesses sufficient energetic stores to spawn prior to the bloom, so that larvae are able to fully utilize available resources associated with the spring bloom. Increased somatic growth, as indicated by RNA:DNA, may not begin until later, when the bloom was beginning to decline. Earlier work. which suggested that the deeper living, non-migrating species, like B, antarcticus, would not be affected by the bloom until after shallower, migratory species, like E. antarctica, is supported. Of the assays tested, RNA:DNA appeared to be the most sensitive. The combined assessment of many measures including biochemical, compositional, dietary: and age estimates from single specimens is possible if the samples are treated with sufficient care. The reliance upon a single measure to help interpret the ecology of a species, especially in nekton-sized species. is not as effective as techniques used in combination.</t>
  </si>
  <si>
    <t>10.1007/s002270000428</t>
  </si>
  <si>
    <t>385LK</t>
  </si>
  <si>
    <t>WOS:000166005800036</t>
  </si>
  <si>
    <t>Louanchi, F; Hoppema, M</t>
  </si>
  <si>
    <t>Interannual variations of the Antarctic Ocean CO2 uptake from 1986 to 1994</t>
  </si>
  <si>
    <t>2nd International Symposium on Carbon Dioxide in the Oceans</t>
  </si>
  <si>
    <t>JAN 18-22, 1999</t>
  </si>
  <si>
    <t>TSUKUBA CTR INST, TSUKUBA, JAPAN</t>
  </si>
  <si>
    <t>TSUKUBA CTR INST</t>
  </si>
  <si>
    <t>interannual variations; Antarctic Ocean; CO2 uptake</t>
  </si>
  <si>
    <t>TIME-SERIES STATION; INDIAN-OCEAN; ATMOSPHERIC CO2; CARBON-DIOXIDE; WEDDELL SEA; ANTHROPOGENIC CO2; CIRCUMPOLAR WAVE; SOUTHERN-OCEAN; PACIFIC-OCEAN; SURFACE-LAYER</t>
  </si>
  <si>
    <t>The interannual variations of CO2 sources and sinks in the surface waters of the Antarctic Ocean (south of 50 degreesS) were studied between 1986 and 1994. An existing, slightly modified one-dimensional model describing the mixed-layer carbon cycle was used for this study and forced by available satellite-derived and climatological data. Between 1986 and 1994, the mean Antarctic Ocean CO2 uptake was 0.53 Pg C year(-1) with an interannual variability of 0.15 Pg C year(-1). Interannual variation of the Antarctic Ocean CO2 uptake is related to the Antarctic Circumpolar Wave (ACW), which affects sea surface temperature (SST), wind-speed and sea-ice extent. The CO2 uptake in the Antarctic Ocean has increased from 1986 to 1994 by 0.32 Pg C. It was found that over the 9 years, the surface ocean carbon dioxide fugacity (fCO(2)) increase was half that of the atmospheric CO2 increase inducing an increase of the air-sea fCO(2) gradient. This effect is responsible for 60% of the Antarctic Ocean CO2 uptake increase between 1986 and 1994, as the ACW effect cancels out over the 9 years investigated. (C) 2000 Elsevier Science B.V. All rights reserved.</t>
  </si>
  <si>
    <t>Univ Bremen, Dept Tracer Oceanog, IUP, D-28334 Bremen, Germany; Penn State Univ, Dept Meteorol, University Pk, PA 16802 USA</t>
  </si>
  <si>
    <t>University of Bremen; Pennsylvania Commonwealth System of Higher Education (PCSHE); Pennsylvania State University; Pennsylvania State University - University Park</t>
  </si>
  <si>
    <t>Hoppema, M (corresponding author), Univ Bremen, Dept Tracer Oceanog, IUP, FB1,POB 330 440, D-28334 Bremen, Germany.</t>
  </si>
  <si>
    <t>Hoppema, Mario/I-6286-2013</t>
  </si>
  <si>
    <t>Hoppema, Mario/0000-0002-2326-619X</t>
  </si>
  <si>
    <t>2-4</t>
  </si>
  <si>
    <t>10.1016/S0304-4203(00)00076-1</t>
  </si>
  <si>
    <t>381AP</t>
  </si>
  <si>
    <t>WOS:000165740400004</t>
  </si>
  <si>
    <t>Körtzinger, A; Mintrop, L; Wallace, DWR; Johnson, KM; Neill, C; Tilbrook, B; Towler, P; Inoue, HY; Ishii, M; Shaffer, G; Saavedra, RFT; Ohtaki, E; Yamashita, E; Poisson, A; Brunet, C; Schauer, B; Goyet, C; Eischeid, G</t>
  </si>
  <si>
    <t>The international at-sea intercomparison of fCO2 systems during the R/V Meteor Cruise 36/1 in the North Atlantic Ocean</t>
  </si>
  <si>
    <t>carbon cycle; air-sea exchange; carbon dioxide partial pressure; intercomparison</t>
  </si>
  <si>
    <t>DISSOCIATION-CONSTANTS; CARBONIC-ACID; PARTIAL-PRESSURE; CO2; SEAWATER; WATER; TEMPERATURE; PCO(2); SALINITY; AIR</t>
  </si>
  <si>
    <t>The 'International Intercomparison Exercise of fCO(2) Systems' was carried out in 1996 during the R/V Meteor Cruise 36/1 from Bermuda/UK to Gran Canaria/Spain. Nine groups from six countries (Australia, Denmark, France, Germany, Japan, USA) participated in this exercise, bringing together 15 participants with seven underway fugacity of carbon dioxide (fCO(2)) systems, one discrete fCO(2) system, and two underway pH systems, as well as systems for discrete measurement of total alkalinity and total dissolved inorganic carbon. Here, we compare surface seawater fCO(2) measured synchronously by all participating instruments. A common infrastructure (seawater and calibration gas supply), different quality checks (performance of calibration procedures for CO2, temperature measurements) and a common procedure for calculation of final fCO(2) were provided to reduce the largest possible amount of controllable sources of error. The results show that under such conditions underway measurements of the fCO(2) in surface seawater and overlying air can be made to a high degree of agreement(+/-1 mu atm) with a variety of possible equilibrator and system designs. Also, discrete fCO(2) measurements can be made in good agreement (+/-3 mu atm) with underway fCO(2) data sets. However, even well-designed systems, which are operated without any obvious sign of malfunction, can show significant differences of the order of 10 mu atm. Based on our results, no best choice for the type of the equilibrator nor specifics on its dimensions and flow rates of seawater and air can be made in regard to the achievable accuracy of the fCO(2) system. Measurements of equilibrator temperature do not seem to be made with the required accuracy resulting in significant errors in fCO(2) results. Calculation of fCO(2) from high-quality total dissolved inorganic carbon (C-T) and total alkalinity (A(T)) measurements does not yield results comparable in accuracy and precision to fCO(2) measurements. (C) 2000 Elsevier Science B.V. All rights reserved.</t>
  </si>
  <si>
    <t>Univ Kiel, Inst Marine Res, Dept Marine Chem, D-24105 Kiel, Germany; Univ Bremen, Dept Geosci, D-28334 Bremen, Germany; Brookhaven Natl Lab, Dept Appl Sci, Upton, NY 11973 USA; Cooperat Res Ctr Antarctic &amp; So Ocean, Div Marine Res, Hobart, Tas 7001, Australia; Commonwealth Sci &amp; Ind Res Org, Hobart, Tas 7001, Australia; Meteorol Res Inst, Geochem Res Dept, Tsukuba, Ibaraki 305, Japan; Univ Copenhagen, Danish Ctr Earth Syst Sci, DK-2100 Copenhagen, Denmark; Gothenburg Univ, Dept Analyt &amp; Marine Chem, S-41296 Gothenburg, Sweden; Okayama Univ, Okayama 700, Japan; Okayama Univ Sci, Res Inst Technol, Okayama 700, Japan; Univ Paris 06, Phys &amp; Chim Marines Lab, F-75252 Paris 05, France; Woods Hole Oceanog Inst, Dept Marine Chem &amp; Geochem, Woods Hole, MA 02543 USA</t>
  </si>
  <si>
    <t>University of Kiel; University of Bremen; United States Department of Energy (DOE); Brookhaven National Laboratory; Commonwealth Scientific &amp; Industrial Research Organisation (CSIRO); Meteorological Research Institute - Japan; University of Copenhagen; University of Gothenburg; Okayama University; Okayama University of Science; Sorbonne Universite; Woods Hole Oceanographic Institution</t>
  </si>
  <si>
    <t>Körtzinger, A (corresponding author), Univ Kiel, Inst Marine Res, Dept Marine Chem, Dusternbrooker Weg 20, D-24105 Kiel, Germany.</t>
  </si>
  <si>
    <t>Tilbrook, Bronte/W-4007-2019; Körtzinger, Arne/A-4141-2014; Yoshikawa, Hisayuki/A-4056-2012; Shaffer, Gary/G-1742-2016</t>
  </si>
  <si>
    <t>Tilbrook, Bronte/0000-0001-9385-3827; Shaffer, Gary/0000-0002-2494-3471; Ishii, Masao/0000-0002-7328-4599</t>
  </si>
  <si>
    <t>10.1016/S0304-4203(00)00080-3</t>
  </si>
  <si>
    <t>WOS:000165740400008</t>
  </si>
  <si>
    <t>Hoppema, M; Stoll, MHC; de Baar, HJW</t>
  </si>
  <si>
    <t>CO2 in the Weddell Gyre and Antarctic Circumpolar Current:: austral autumn and early winter</t>
  </si>
  <si>
    <t>Weddell Sea; autumn; carbon dioxide; air-sea exchange; Antarctic Bottom Water</t>
  </si>
  <si>
    <t>TOTAL CARBON-DIOXIDE; SOUTHERN-OCEAN; SURFACE-LAYER; BOTTOM WATER; DEEP-WATER; SEA; TEMPERATURE; TRANSPORT; SUMMER; OXYGEN</t>
  </si>
  <si>
    <t>Quasi-continuous fugacity of CO2 (fCO(2)) data were collected in the eastern Weddell Gyre and southern Antarctic Circumpolar Current (ACC) of the Southern Ocean during austral autumn 1996. Full depth Total CO2 (TCO2) sections are presented for austral autumn and winter (1992) cruises. Pronounced fCO(2) gradients were observed at the Southern Ocean fronts. In the Weddell Gyre, fCO(2) regimes appeared to coincide with surface and subsurface hydrographic regimes. The southern ACC was supersaturated with respect to CO2, as was part of the northern Weddell Gyre. The southern Weddell Gyre was markedly undersaturated. The great potential of autumn cooling for generating undersaturation and CO2 uptake from the atmosphere was demonstrated. In the northeastern Weddell Gyre, upwelling of CO2- and salt-rich deep water was shown to play a role as the horizontal fCO(2) distribution closely resembled that of the surface salinity. The total uptake of atmospheric CO2 by the Weddell Gyre in autumn (45 days) was calculated to be 7 . 10(12) g C. The deep TCO2 distribution noticeably reflected the different water masses in the region. A new deep TCO2 maximum was detected in the ACC, which apparently characterizes the boundary between the equatorward flowing Antarctic Bottom Water (AABW) and the Circumpolar Deep Water (CDW). East of the Weddell Gyre, the AABW stratum is much thicker (&gt; 2000 m) than more to the west, on the prime meridian (&lt; 300 m). (C) 2000 Elsevier Science B.V. All rights reserved.</t>
  </si>
  <si>
    <t>Univ Bremen, Dept Tracer Oceanog, IUP, D-28334 Bremen, Germany; Netherlands Inst Sea Res, NL-1780 AB Texel, Netherlands</t>
  </si>
  <si>
    <t>University of Bremen; Utrecht University; Royal Netherlands Institute for Sea Research (NIOZ)</t>
  </si>
  <si>
    <t>10.1016/S0304-4203(00)00082-7</t>
  </si>
  <si>
    <t>WOS:000165740400010</t>
  </si>
  <si>
    <t>Findlay, CS; Flores, JA</t>
  </si>
  <si>
    <t>Subtropical Front fluctuations south of Australia (45°09′S, 146°17′E) for the last 130 ka years based on calcareous nannoplankton</t>
  </si>
  <si>
    <t>MARINE MICROPALEONTOLOGY</t>
  </si>
  <si>
    <t>calcareous nanoplankton; palaeoceanography; palaeoclimate; biostratigraphy; Southern Ocean</t>
  </si>
  <si>
    <t>SURFACE-WATER; INDIAN-OCEAN; MEDITERRANEAN-SEA; COCCOLITH; HOLOCENE; PALEOCEANOGRAPHY; ASSEMBLAGES; MOVEMENTS; PLANKTON</t>
  </si>
  <si>
    <t>Calcareous nannoplankton assemblages from a Late Quaternary deep-sea core (GC07; 46 degrees 09'S, 146 degrees 17'E) south of Australia provide information on regional palaeoceanography and palaeoclimate changes in the Southern Ocean, in particular the movement of the Subtropical Front for the past 130 ka years. Marine Isotope Stages 1-5 are identified through changes in calcareous nannoplankton assemblages, supported by C-14 dates, and oxygen isotope and %CaCO data. Two distinct assemblages are recognised: a warm water assemblage with higher abundances of Calcidiscus leptoporus. Emiliania huxleyi, Helicosphaera.carteri, Syracosphaera pulchra, Gephyrocapsa caribbeanica and Gephyrocapsa oceanica; and, a cold water assemblage with higher abundances of Gephyrocapsa muellerae and Coccolithus pelagicus. Alternation between these two assemblages downcore in GC07 reflect movement of the Subtropical Front across the location and can be correlated to Marine Isotope Stages (MIS) 1-5. Sediments with a cold water assemblage indicate the position of the Subtropical Front equatorward of the site when transitional to sub-antarctic waters were overlying the site. Conversely sediments with a warm water assemblage indicate the Subtropical Front was poleward of GC07 when warmer, subtropical waters were over the site. MIS 1 and 5 are interpreted as warmer than MIS 3 (based on species composition) with the Subtropical Front more poleward than for MIS 3. During MIS 3 the Subtropical Front is interpreted as adjacent to or immediately poleward of GC07. Some species including C. leptoporus and C. pelagicus show negative covariance and are considered to be reliable species in identifying glacial and interglacial intervals in this region. Comparison with established biostratigraphy based on calcareous nannoplankton showed the datum event for the reversal between E. huxleyi and G. muellerae of 73 ka in transitional waters is not applicable in this region. The reversal between these two species occurs between 48 and 30 cm downcore in GC07 with a C-14 date of 11020 year BP at 49-48 cm, i.e. the reversal event is younger than this date. (C) 2000 Elsevier Science B.V. All rights reserved.</t>
  </si>
  <si>
    <t>Univ Tasmania, Inst Antarctic &amp; So Ocean Studies, Hobart, Tas 7001, Australia; Univ Salamanca, Dept Geol, E-37008 Salamanca, Spain</t>
  </si>
  <si>
    <t>University of Tasmania; University of Salamanca</t>
  </si>
  <si>
    <t>Findlay, CS (corresponding author), Univ Tasmania, Inst Antarctic &amp; So Ocean Studies, GPO Box 252-77, Hobart, Tas 7001, Australia.</t>
  </si>
  <si>
    <t>claire_findlay@hotmail.com</t>
  </si>
  <si>
    <t>Flores, José-Abel/D-4218-2009</t>
  </si>
  <si>
    <t>Flores, José-Abel/0000-0003-1909-293X</t>
  </si>
  <si>
    <t>0377-8398</t>
  </si>
  <si>
    <t>1872-6186</t>
  </si>
  <si>
    <t>MAR MICROPALEONTOL</t>
  </si>
  <si>
    <t>Mar. Micropaleontol.</t>
  </si>
  <si>
    <t>10.1016/S0377-8398(00)00045-1</t>
  </si>
  <si>
    <t>381TB</t>
  </si>
  <si>
    <t>WOS:000165778600003</t>
  </si>
  <si>
    <t>Findlay, CS; Giraudeau, J</t>
  </si>
  <si>
    <t>Extant calcareous nannoplankton in the Australian Sector of the Southern Ocean (austral summers 1994 and 1995)</t>
  </si>
  <si>
    <t>calcareous nannoplankton; temperature; salinity; nutrients; Southern Ocean</t>
  </si>
  <si>
    <t>LIVING COCCOLITHOPHORES; EMILIANIA-HUXLEYI; ATLANTIC-OCEAN; WEDDELL SEA; SEDIMENTS; TASMANIA; PACIFIC; SYSTEM; WATERS</t>
  </si>
  <si>
    <t>Living calcareous nannoplankton in the region between Australia and Antarctica are distributed in five assemblages associated with distinct physico-chemical properties of surface and subsurface water masses. Temperature and salinity ranges for living assemblages were 2-15.7 degreesC and 33.7-35.56 parts per thousand, respectively, with maximum cell densities for austral summer 1994 found at 9.63 degreesC and 34.44 parts per thousand, and for austral summer 1995 at 12.8 degreesC and 35.17 parts per thousand. Nutrients (phosphate, silicate and nitrate) increase poleward and vertically from surface to depth. Abundance and diversity of calcareous nannoplankton decrease in a poleward direction with major shifts located across both the Subtropical and the Subantarctic Fronts. Higher cell densities were found below 50 m equatorward of the Subtropical Front and above 50 m poleward of this front. Poleward of the Antarctic Divergence coccolithophores are absent from all samples. Three different morphotypes of Emiliania huxleyi were identified, one of which has a distribution associated with the Subtropical Front. Of the subordinate species Syracosphaera spp, Calciosolenia murrayi and Umbellosphaera tenuis dominate equatorward of the Subtropical Front with Syracosphaera spp and Calcidiscus leptoporus dominant poleward of this front. A peculiar community of weakly calcified species is recorded for the first time outside the Weddell Sea. (C) 2000 Elsevier Science B.V. All rights reserved.</t>
  </si>
  <si>
    <t>Univ Tasmania, Inst Antarctic &amp; So Ocean Studies, Hobart, Tas 7001, Australia; Univ Bordeaux 1, CNRS, UMR 5805, Dept Geol &amp; Oceanog, F-33405 Talence, France</t>
  </si>
  <si>
    <t>University of Tasmania; Universite de Bordeaux; Centre National de la Recherche Scientifique (CNRS); CNRS - National Institute for Earth Sciences &amp; Astronomy (INSU)</t>
  </si>
  <si>
    <t>claire_findlay@hotmail.com; giraudeau@geocean.u-bordeaux.fr</t>
  </si>
  <si>
    <t>Giraudeau, Jacques/AAF-5764-2019</t>
  </si>
  <si>
    <t>Giraudeau, Jacques/0000-0002-5069-4667</t>
  </si>
  <si>
    <t>10.1016/S0377-8398(00)00046-3</t>
  </si>
  <si>
    <t>WOS:000165778600004</t>
  </si>
  <si>
    <t>Gasparics, T; Martínez, RMG; Caroli, S; Záray, G</t>
  </si>
  <si>
    <t>Determination of trace elements in Antarctic krill samples by inductively coupled atomic emission and graphite furnace atomic absorption spectrometry</t>
  </si>
  <si>
    <t>MICROCHEMICAL JOURNAL</t>
  </si>
  <si>
    <t>IXth Italian-Hungarian Conference in Spectrochemistry - Analytical Techniques in Environmental Chemistry</t>
  </si>
  <si>
    <t>OCT 09-15, 1999</t>
  </si>
  <si>
    <t>SIENA, ITALY</t>
  </si>
  <si>
    <t>Antarctic krill samples; ICP-AES; GF-AAS</t>
  </si>
  <si>
    <t>RAY-FLUORESCENCE SPECTROMETRY; PLASMA-MASS-SPECTROMETRY; MICROWAVE DIGESTION; BIOLOGICAL SAMPLES; DECOMPOSITION; PRODUCTS; METALS; MILK; ACID; FISH</t>
  </si>
  <si>
    <t>Analytical methods were developed for the determination of trace elements in Antarctic krill samples applying inductively coupled plasma atomic emission spectrometry (ICP-AES) and graphite furnace atomic absorption spectrometry (GF-AAS). Cu, Fe, Mn and Zn were determined by ICP-AES, while Cd and Pb by GF-AAS technique. Two microwave assisted digestion procedures were elaborated for the preparation of 0.5-g krill samples using open and closed vessel systems. The efficiency of the digestion processes was checked by measurements of the total organic carbon content of the solutions obtained. The deviations of the analytical data from the certified values and the relative standard deviations of the concentration measurements were lower for all six elements investigated applying the closed vessel digestion system. (C) 2000 Elsevier Science B.V. All rights reserved.</t>
  </si>
  <si>
    <t>Eotvos Lorand Univ, Dept Chem Technol &amp; Environm Chem, H-1518 Budapest 112, Hungary; Univ Complutense, Fac Ciencias Quim, Dept Quim Anal, Madrid, Spain; Ist Super Sanita, I-00161 Rome, Italy</t>
  </si>
  <si>
    <t>Eotvos Lorand University; Complutense University of Madrid; Istituto Superiore di Sanita (ISS)</t>
  </si>
  <si>
    <t>Záray, G (corresponding author), Eotvos Lorand Univ, Dept Chem Technol &amp; Environm Chem, POB 32, H-1518 Budapest 112, Hungary.</t>
  </si>
  <si>
    <t>zaray@ludens.elte.hu</t>
  </si>
  <si>
    <t>0026-265X</t>
  </si>
  <si>
    <t>MICROCHEM J</t>
  </si>
  <si>
    <t>Microchem J.</t>
  </si>
  <si>
    <t>10.1016/S0026-265X(00)00073-4</t>
  </si>
  <si>
    <t>399GZ</t>
  </si>
  <si>
    <t>WOS:000166804400040</t>
  </si>
  <si>
    <t>Lau, DT; Saeed, A; Parker, SK; Detrich, HW</t>
  </si>
  <si>
    <t>Adaptive evolution of gene expression in Antarctic fishes</t>
  </si>
  <si>
    <t>MOLECULAR BIOLOGY OF THE CELL</t>
  </si>
  <si>
    <t>Northeastern Univ, Boston, MA 02115 USA</t>
  </si>
  <si>
    <t>Northeastern University</t>
  </si>
  <si>
    <t>AMER SOC CELL BIOLOGY</t>
  </si>
  <si>
    <t>8120 WOODMONT AVE, STE 750, BETHESDA, MD 20814-2755 USA</t>
  </si>
  <si>
    <t>1059-1524</t>
  </si>
  <si>
    <t>MOL BIOL CELL</t>
  </si>
  <si>
    <t>Mol. Biol. Cell</t>
  </si>
  <si>
    <t>437A</t>
  </si>
  <si>
    <t>Cell Biology</t>
  </si>
  <si>
    <t>377QY</t>
  </si>
  <si>
    <t>WOS:000165525902272</t>
  </si>
  <si>
    <t>Cox, SC; Parkinson, DL; Allibone, AH; Cooper, AF</t>
  </si>
  <si>
    <t>Isotopic character of Cambro-Ordovician plutonism, southern Victoria Land, Antarctica</t>
  </si>
  <si>
    <t>NEW ZEALAND JOURNAL OF GEOLOGY AND GEOPHYSICS</t>
  </si>
  <si>
    <t>granitoids; suites; plutons; Bonney; Valhalla; Ross Orogeny; isotopes; dating; Antarctica; southern Victoria Land; Dry Valleys</t>
  </si>
  <si>
    <t>DRY VALLEYS AREA; TRANSANTARCTIC MOUNTAINS; KOETTLITZ GROUP; TAYLOR VALLEY; GLACIER AREA; GRANITOIDS; MARGIN; GEOCHEMISTRY; EVOLUTION; GONDWANA</t>
  </si>
  <si>
    <t>Previous mapping of granitoid rocks in the Dry Valleys area of southern Victoria Land, Antarctica, identified the calc-alkaline (DV1a), adakitic (DV1b), and monzonitic (DV2) suites. A fourth older suite comprising alkaline gabbro, syenite, and A-type granite occurs in the Mt Dromedary area c. 80 km to the south. U-Pb zircon dating of Bonney Pluton, the largest calc-alkaline DV1a intrusion, indicates emplacement of this regional-scale body at 505 +/- 2 Ma. Pb-loss and inherited zircon were common to Bonney Pluton analyses of this study. U-Pb dating of monazite from Valhalla Pluton, a principal DV1b suite adakitic intrusion, indicates emplacement at 488 +/- 2 Ma. The Bonney Pluton age constrains the peak of calc-alkaline plutonism at 505 Ma and the Valhalla Pluton age records the major pulse of adakitic plutonism that is inferred to mark the final stages of subduction c. 490 Ma along this section of the East Antarctic margin. Nd and Sr isotope data for the calc-alkaline DV1a suite and adakitic DV1b suite define distinct ranges for each suite, supporting their subdivision on the basis of field relationships, petrography, and whole-rock geochemistry. Calc-alkaline DV1a suite granite magmas have epsilon (Nd(T)) = -4.2 to -6.1 and Sr-i = 0.7071-0.7079, whereas the adakitic DV1b suite rocks have a wider range of epsilon (Nd(T)) = -1 9 to -7.2 and Sr-i = 0.7065-0.7097. The isotopic data suggest a significant mantle component and subordinate crustal component in the source region of both suites. Time-dependent variations in the isotopic ratios of DV1a and DV1b suites imply a progressive increase in the proportion of more radiogenic material in the source region of the granitoid rocks, either mantle- or crust-derived material. Larger adakitic DV1b plutons are more evolved than equivalent, smaller plutons of the same DV1b suite. Vanda Dikes and monzonitic DV2 suite intrusions are characterised by particularly low Sri = 0.7044-0.7067 and near-constant epsilon (Nd(T)) = -4.8 to -5.3, which indicate a petrogenesis for these younger intrusions distinct from the older DV1a and DV1b suites. Gabbroic rocks from Mt Dromedary have epsilon (Nd(T)) values as low as -8.0 and Sri ratios as high as 0.7108, despite their mafic composition, confirming they are unrelated to granitoids in the Dry Valleys area. A granulite xenolith in the McMurdo Volcanics with calc-alkaline DV1a-type chemistry yielded a concordant U-Pb zircon age of 490 +/- 5 Ma. The age suggests that some of the lower crust in southern Victoria Land was emplaced during the Ross Orogeny rather than forming entirely during earlier Precambrian event(s). Isotopic ratios of metasediments and granitoids in the Dry Valleys correlate most closely with rocks that comprise the Beardmore Microcontinent in the Central Transantarctic Mountains, rather than the Nimrod Group and crosscutting intrusions of the Miller Range. The DV1a suite granitoids in the Dry Valleys are petrographically and geochemically similar to calc-alkaline granitoids in northern Victoria Land, but have less-evolved isotopic compositions that imply a lower proportion of crustal material in the source of the southern Victoria Land granitoid rocks. The isotopic data imply complex variations in the chemistry and genesis of granitoid rocks parallel to, as well as perpendicular to, the trend of the Ross Orogen.</t>
  </si>
  <si>
    <t>Inst Geol &amp; Nucl Sci, Dunedin, New Zealand; Univ Calif Santa Barbara, Dept Geol Sci, Santa Barbara, CA 93106 USA; James Cook Univ N Queensland, Sch Earth Sci, Townsville, Qld 4811, Australia; Univ Otago, Dept Geol, Dunedin, New Zealand</t>
  </si>
  <si>
    <t>GNS Science - New Zealand; University of California System; University of California Santa Barbara; James Cook University; University of Otago</t>
  </si>
  <si>
    <t>Cox, SC (corresponding author), Inst Geol &amp; Nucl Sci, Private Bag 1930, Dunedin, New Zealand.</t>
  </si>
  <si>
    <t>Cox, Simon C./0000-0001-5899-8035</t>
  </si>
  <si>
    <t>SIR PUBLISHING</t>
  </si>
  <si>
    <t>WELLINGTON</t>
  </si>
  <si>
    <t>PO BOX 399, WELLINGTON, NEW ZEALAND</t>
  </si>
  <si>
    <t>0028-8306</t>
  </si>
  <si>
    <t>NEW ZEAL J GEOL GEOP</t>
  </si>
  <si>
    <t>N. Z. J. Geol. Geophys.</t>
  </si>
  <si>
    <t>10.1080/00288306.2000.9514906</t>
  </si>
  <si>
    <t>Geology; Geosciences, Multidisciplinary</t>
  </si>
  <si>
    <t>392YV</t>
  </si>
  <si>
    <t>WOS:000166440900003</t>
  </si>
  <si>
    <t>Barbraud, C; Weimerskirch, H; Guinet, C; Jouventin, P</t>
  </si>
  <si>
    <t>Effect of sea-ice extent on adult survival of an Antarctic top predator:: the snow petrel Pagodroma nivea</t>
  </si>
  <si>
    <t>OECOLOGIA</t>
  </si>
  <si>
    <t>seabirds; sea-ice; snow petrel; Southern Ocean; survival</t>
  </si>
  <si>
    <t>PENGUIN POPULATIONS; VARIABILITY; KRILL; SEABIRDS; OCEAN</t>
  </si>
  <si>
    <t>The snow petrel Pagodroma nivea is an obligate associate of sea-ice and one of the most abundant seabird species of the Southern Ocean. Time- and sex-specific annual variation in adult survival was estimated using capture-mark-recapture of petrels nesting at Petrels Island, Terre Adelie, 1981-1997. On the basis of a regression analysis, 44% of the variation was linked inversely to the latitudinal extent of sea-ice during winter (June) in the region offshore of the study colony, where this population is likely to spend the non-breeding season. Monthly sea-surface temperature anomalies tended to influence adult survival but the relationship was not statistically significant. Why sea-ice extent should have such a critical effect on this species is yet to be explained, but the relationship, in the context of environmental warming and the consequent potential loss of Antarctic sea-ice, is an important one for this species.</t>
  </si>
  <si>
    <t>CNRS, Ctr Etud Biol Chize, F-79360 Beauvoir Sur Niort, France; CNRS, Ctr Ecol Fonct &amp; Evolut, F-34293 Montpellier, France</t>
  </si>
  <si>
    <t>Centre National de la Recherche Scientifique (CNRS); Universite PSL; Ecole Pratique des Hautes Etudes (EPHE); Institut Agro; Montpellier SupAgro; CIRAD; Centre National de la Recherche Scientifique (CNRS); Institut de Recherche pour le Developpement (IRD); Universite Paul-Valery; Universite de Montpellier</t>
  </si>
  <si>
    <t>Barbraud, C (corresponding author), Stn Biol Tour Valat, F-13200 Arles, France.</t>
  </si>
  <si>
    <t>Weimerskirch, Henri/K-7306-2019; Barbraud, Christophe/A-5870-2012; Guinet, Christophe/AAR-8457-2020; Weimerskirch, Henri/F-5562-2013</t>
  </si>
  <si>
    <t>Weimerskirch, Henri/0000-0002-0457-586X; Barbraud, Christophe/0000-0003-0146-212X;</t>
  </si>
  <si>
    <t>0029-8549</t>
  </si>
  <si>
    <t>Oecologia</t>
  </si>
  <si>
    <t>10.1007/s004420000481</t>
  </si>
  <si>
    <t>Ecology</t>
  </si>
  <si>
    <t>376DK</t>
  </si>
  <si>
    <t>WOS:000165442800004</t>
  </si>
  <si>
    <t>García-Alvarez, O; Urgorri, V; von Salvini-Plawen, L</t>
  </si>
  <si>
    <t>Sputoherpia galliciensis a new species from off Galicia (Mollusca, Solenogastres: Amphimeniidae)</t>
  </si>
  <si>
    <t>OPHELIA</t>
  </si>
  <si>
    <t>During the expedition CANGREXO I, a new species of Solenogastres: Sputoherpia galliciensis n. sp. was collected in Galicia, Northwest Spain. It is characterized by its thick cuticle without keel or lumps, and by hollow, acicular spicules; the pedal groove has five folds in the initial area, three cover almost the entire extension and the one on the final stretch enters into the pallial cavity. The glandular organ duct of the pharynx has three branches; the monoserial radula has two large mediolateral denticles, two lateral denticles and 6 central denticles, of which the four in the middle are very small. The midgut has thick, pleated walls, lateral constrictions and an anterior caecum; there is one pair of seminal receptacles; the spawning ducts fuse and the unpaired duct leads into a papilla in the center of the pallial cavity; there is one terminal sense organ. Until now, members of the genus Sputoherpia had been collected in Antarctic waters only.</t>
  </si>
  <si>
    <t>Univ Santiago de Compostela, Fac Biol, Dept Anim Biol, E-15706 Santiago De Compostela, Spain; Univ Vienna, Inst Zool, A-1090 Vienna, Austria</t>
  </si>
  <si>
    <t>Universidade de Santiago de Compostela; University of Vienna</t>
  </si>
  <si>
    <t>García-Alvarez, O (corresponding author), Univ Santiago de Compostela, Fac Biol, Dept Anim Biol, E-15706 Santiago De Compostela, Spain.</t>
  </si>
  <si>
    <t>Garcia-Alvarez, Oscar/0000-0001-5363-5913; Urgorri, Victoriano/0000-0001-8261-5145</t>
  </si>
  <si>
    <t>OPHELIA PUBLICATIONS</t>
  </si>
  <si>
    <t>STENSTRUP</t>
  </si>
  <si>
    <t>KIRKEBY SAND 19, DK-5771 STENSTRUP, DENMARK</t>
  </si>
  <si>
    <t>0078-5326</t>
  </si>
  <si>
    <t>Ophelia</t>
  </si>
  <si>
    <t>10.1080/00785326.2000.10409448</t>
  </si>
  <si>
    <t>393NJ</t>
  </si>
  <si>
    <t>WOS:000166476300003</t>
  </si>
  <si>
    <t>Shackleton, NJ; Hall, MA; Vincent, E</t>
  </si>
  <si>
    <t>Phase relationships between millennial-scale events 64,000-24,000 years ago</t>
  </si>
  <si>
    <t>PALEOCEANOGRAPHY</t>
  </si>
  <si>
    <t>LAST GLACIAL PERIOD; CLIMATE-CHANGE; ICE-CORE; GREENLAND; FORAMINIFERA; TEMPERATURE; INSTABILITY; ISOTOPE; MARGIN</t>
  </si>
  <si>
    <t>A core recovered on the Iberian margin off southern Portugal can be correlated with Greenland ice cores using oxygen isotope variability in planktonic foraminifera which closely matches the ice core records of temperature over Greenland. Our age model identifies the base of every interstadial between 64,000 and 24,000 years ago and uses the Greenland Ice Core Project (GRIP) timescale. The oxygen isotope signal in benthic foraminifera (on this GRIP-based timescale) is quite different from the planktonic record and resembles the temperature record over Antarctica when this is synchronized with Greenland using the record of methane in the atmospheric air in the polar ice cores. We interpret the benthic record as indicating significant fluctuations in ice volume during millennial events, and we suggest that Antarctic temperature changed as a function of ice volume.</t>
  </si>
  <si>
    <t>Univ Cambridge, Dept Earth Sci, Godwin Lab, Cambridge CB2 3SA, England; Univ Mediterranee, CNRS, Ctr Oceanol Marseille, Marseille, France</t>
  </si>
  <si>
    <t>University of Cambridge; Aix-Marseille Universite; Centre National de la Recherche Scientifique (CNRS)</t>
  </si>
  <si>
    <t>Shackleton, NJ (corresponding author), Univ Cambridge, Dept Earth Sci, Godwin Lab, Pembroke St, Cambridge CB2 3SA, England.</t>
  </si>
  <si>
    <t>0883-8305</t>
  </si>
  <si>
    <t>Paleoceanography</t>
  </si>
  <si>
    <t>10.1029/2000PA000513</t>
  </si>
  <si>
    <t>Geosciences, Multidisciplinary; Oceanography; Paleontology</t>
  </si>
  <si>
    <t>Geology; Oceanography; Paleontology</t>
  </si>
  <si>
    <t>384TA</t>
  </si>
  <si>
    <t>WOS:000165959900001</t>
  </si>
  <si>
    <t>Frank, M; Gersonde, R; van der Loeff, MR; Bohrmann, G; Nürnberg, CC; Kubik, PW; Suter, M; Mangini, A</t>
  </si>
  <si>
    <t>Similar glacial and interglacial export bioproductivity in the Atlantic sector of the Southern Ocean:: Multiproxy evidence and implications for glacial atmospheric CO2</t>
  </si>
  <si>
    <t>EQUATORIAL PACIFIC-OCEAN; DEEP-SEA SEDIMENTS; BIOGENIC PARTICLE-FLUX; WEDDELL SEA; SURFACE SEDIMENTS; LATE-QUATERNARY; ICE-CORE; BIOLOGICAL PRODUCTIVITY; MARINE-SEDIMENTS; ANTARCTIC OCEAN</t>
  </si>
  <si>
    <t>We present time series of export productivity proxy data including Th-230(ex)-normalized deposition rates train rates) of Be-10, dissolution-corrected biogenic Pa, and biogenic opal as well as authigenic U concentrations which are complemented by rain rates of total (detrital) Fe and sea ice indicating diatom abundances from five sediment cores across the Atlantic sector of the Southern Ocean covering the past 150,000 years. The results suggest that Be-10 rain rates and authigenic U concentration cannot serve as quantitative paleoproductivity proxies because they have also been influenced by detrital particle fluxes in the case of Be-10 and bulk sedimentation rates (sediment focussing) and deep water oxygenation: in the case of U.The combined results of the remaining productivity proxies of this study train rates of biogenic opal and biogenic Pa in those sections without authigenic U) and other previously published proxy data from the Southern Ocean (Pa-231/Th-230 and nitrogen isotopes) suggest that a combination of sea ice cover, shallow remineralization depth, and stratification of the glacial water column south of the present position of the Antarctic Polar Front and possibly Fe fertilization north of it have been the main controlling factors of export paleoproductivity in the Southern Ocean over the last 150,000 years. An overall glacial increase of export paleoproductivity is not supported by the data, implying that bioproductivity variations in the Southern Ocean are unlikely to have contributed to the major glacial atmospheric CO2 drawdown observed in ice cores.</t>
  </si>
  <si>
    <t>Univ Heidelberg, Heidelberger Akad Wissensch, Inst Umweltphys, Heidelberg, Germany; ETH Zentrum, Inst Isotope Geol &amp; Mineral Resources, Dept Earth Sci, CH-8092 Zurich, Switzerland; Alfred Wegener Inst Polar &amp; Marine Res, D-27568 Bremerhaven, Germany; GEOMAR, Forschungszentrum Marine Geowissensch, D-24148 Kiel, Germany; Swiss Fed Inst Technol, ETH Honggerberg, Paul Scherrer Inst, Inst Teilchenphys, CH-8093 Zurich, Switzerland</t>
  </si>
  <si>
    <t>Ruprecht Karls University Heidelberg; Swiss Federal Institutes of Technology Domain; ETH Zurich; Helmholtz Association; Alfred Wegener Institute, Helmholtz Centre for Polar &amp; Marine Research; Helmholtz Association; GEOMAR Helmholtz Center for Ocean Research Kiel; Swiss Federal Institutes of Technology Domain; ETH Zurich; Paul Scherrer Institute</t>
  </si>
  <si>
    <t>Univ Heidelberg, Heidelberger Akad Wissensch, Inst Umweltphys, Heidelberg, Germany.</t>
  </si>
  <si>
    <t>frank@erdw.ethz.ch; RGersonde@AWI-Bremerhaven.de; Loeff@AWI-Bremerhaven.de; gbohrmann@geomarm.de; dnuernberg@geomar.de; Kubik@particle.phys.ethz.ch; Martin.Suter@particle.phys.ethz.ch; Augusto.Mangini@iup.uni-heidelberg.de</t>
  </si>
  <si>
    <t>; Bohrmann, Gerhard/D-4474-2017</t>
  </si>
  <si>
    <t>Rutgers van der Loeff, Michiel/0000-0003-1393-3742; Bohrmann, Gerhard/0000-0001-9976-4948; Frank, Martin/0000-0002-8606-4421</t>
  </si>
  <si>
    <t>1944-9186</t>
  </si>
  <si>
    <t>10.1029/2000PA000497</t>
  </si>
  <si>
    <t>WOS:000165959900007</t>
  </si>
  <si>
    <t>Sobolev, I</t>
  </si>
  <si>
    <t>Effect of column ozone on the variability of biologically effective UV radiation at high southern latitudes</t>
  </si>
  <si>
    <t>PHOTOCHEMISTRY AND PHOTOBIOLOGY</t>
  </si>
  <si>
    <t>ACTIVE ULTRAVIOLET-RADIATION; ANTARCTIC PHYTOPLANKTON; NATURAL PHYTOPLANKTON; MARINE-PHYTOPLANKTON; EARTHS SURFACE; SHORT-TERM; PHOTOSYNTHESIS; INHIBITION; DEPLETION</t>
  </si>
  <si>
    <t>Solar irradiance measurements from Ushuaia (Argentina) and Palmer and McMurdo Stations in Antarctica covering four seasons from mid-1993 through early 1997 have been analyzed and their variations compared with column ozone changes, UV irradiances were weighted for biological effectiveness using a published biological weighting function for dose-dependent inhibition of photosynthesis by phytoplankton from the Weddell Sea. All calculations involved integrated daily UV doses and visible exposures (weighted UV and unweighted visible irradiances, respectively). The results show that daily biologically effective total UV doses underwent large shortterm variations at all three sites, with day-to-day increases up to 236% at Ushuaia, 285% at Palmer and 99% at McMurdo. Parallel changes in visible exposure indicated that the total UV changes were preponderantly due to variations in cloudiness. On a 12-month basis, daily biologically effective UV doses correlated strongly with visible exposures (R greater than or equal to 0.99), Anticorrelations of total UV with ozone, on the other hand, were poor (R &gt; -0.11), The largest daily biologically effective UV doses, and their day-to-day increases, occurred as part of the normal variability related to cloud cover and were seldom associated with significant ozone depletion. UV dose/visible exposure ratios tended to reflect ozone depletion events somewhat more consistently than UV doses alone. With the Weddell Sea phytoplankton weighting function used in this study, antarctic ozone hole events were seldom readily discernible in the biologically effective UV record. The results suggest that, where the UV sensitivity of organisms was similar to that of the Weddell Sea phytoplankton, seasonal ozone depletion had no appreciable effect on annual primary productivity during the 1993-1997 period. Additional data on the geographical and seasonal variation of biological weighting functions are desirable for more comprehensive assessments of ozone depletion effects at high southern latitudes.</t>
  </si>
  <si>
    <t>Chem &amp; Polymer Technol Inc, Orinda, CA 94563 USA</t>
  </si>
  <si>
    <t>Sobolev, I (corresponding author), Chem &amp; Polymer Technol Inc, 5 Rita Way, Orinda, CA 94563 USA.</t>
  </si>
  <si>
    <t>AMER SOC PHOTOBIOLOGY</t>
  </si>
  <si>
    <t>AUGUSTA</t>
  </si>
  <si>
    <t>BIOTECH PARK, 1021 15TH ST, SUITE 9, AUGUSTA, GA 30901-3158 USA</t>
  </si>
  <si>
    <t>0031-8655</t>
  </si>
  <si>
    <t>PHOTOCHEM PHOTOBIOL</t>
  </si>
  <si>
    <t>Photochem. Photobiol.</t>
  </si>
  <si>
    <t>10.1562/0031-8655(2000)072&lt;0753:EOCOOT&gt;2.0.CO;2</t>
  </si>
  <si>
    <t>385WF</t>
  </si>
  <si>
    <t>WOS:000166027600006</t>
  </si>
  <si>
    <t>Gorham, PW; Saltzberg, DP; Schoessow, P; Gai, W; Power, JG; Konecny, R; Conde, ME</t>
  </si>
  <si>
    <t>Radio-frequency measurements of coherent transition and Cherenkov radiation: Implications for high-energy neutrino detection</t>
  </si>
  <si>
    <t>PHYSICAL REVIEW E</t>
  </si>
  <si>
    <t>FAR-INFRARED REGION; CERENKOV RADIATION; SYNCHROTRON RADIATION; ICE; SHOWERS; PULSES</t>
  </si>
  <si>
    <t>We report on measurements of (11-18)-cm wavelength radio emission from interactions of 15.2 MeV pulsed electron bunches at the Argonne Wakefield Accelerator. The electrons were observed both in a configuration where they produced primarily transition radiation from an aluminum foil, and in a configuration designed for the electrons to produce Cherenkov radiation in a silica sand target. Our aim was to emulate the large electron excess expected to develop during an electromagnetic cascade initiated by an ultrahigh-energy particle. Such charge asymmetries are predicted to produce strong coherent radio pulses, which are the basis for several experiments to detect high-energy neutrinos from the showers they induce in Antarctic ice and in the lunar regolith. We detected coherent emission which we attribute both to transition and possibly Cherenkov radiation at different levels depending on the experimental conditions. We discuss implications for experiments relying on radio emission for detection of electromagnetic cascades produced by ultrahigh-energy neutrinos.</t>
  </si>
  <si>
    <t>Argonne Natl Lab, Argonne, IL 60493 USA; Univ Calif Los Angeles, Dept Phys &amp; Astron, Los Angeles, CA 90095 USA; CALTECH, Jet Prop Lab, Pasadena, CA 91109 USA</t>
  </si>
  <si>
    <t>United States Department of Energy (DOE); Argonne National Laboratory; University of California System; University of California Los Angeles; California Institute of Technology; National Aeronautics &amp; Space Administration (NASA); NASA Jet Propulsion Laboratory (JPL)</t>
  </si>
  <si>
    <t>Gorham, PW (corresponding author), Argonne Natl Lab, 9700 S Cass Ave, Argonne, IL 60493 USA.</t>
  </si>
  <si>
    <t>Gorham, Peter/0000-0002-0923-9363</t>
  </si>
  <si>
    <t>AMERICAN PHYSICAL SOC</t>
  </si>
  <si>
    <t>COLLEGE PK</t>
  </si>
  <si>
    <t>ONE PHYSICS ELLIPSE, COLLEGE PK, MD 20740-3844 USA</t>
  </si>
  <si>
    <t>1063-651X</t>
  </si>
  <si>
    <t>PHYS REV E</t>
  </si>
  <si>
    <t>Phys. Rev. E</t>
  </si>
  <si>
    <t>10.1103/PhysRevE.62.8590</t>
  </si>
  <si>
    <t>Physics, Fluids &amp; Plasmas; Physics, Mathematical</t>
  </si>
  <si>
    <t>383JN</t>
  </si>
  <si>
    <t>WOS:000165879500045</t>
  </si>
  <si>
    <t>Freeman, MP; Watkins, NW; Riley, DJ</t>
  </si>
  <si>
    <t>Power law distributions of burst duration and interburst interval in the solar wind: Turbulence or dissipative self-organized criticality?</t>
  </si>
  <si>
    <t>SPRING-BLOCK MODEL; MAGNETOHYDRODYNAMIC FLUCTUATIONS; RENORMALIZATION SCHEME; TEMPORAL CORRELATIONS; CRITICAL-BEHAVIOR; SANDPILE MODELS; 1/F NOISE; FLARES; STATISTICS; EARTHQUAKES</t>
  </si>
  <si>
    <t>We calculate the probability density functions P of burst energy e, duration T, and interburst interval tau for a known turbulent system in nature. Bursts in the Earth-Sun component of the Poynting flux at 1 AU in the solar wind were measured using the MFI and SWE experiments on the NASA WIND spacecraft: We find P(e) and P(T) to be power laws, consistent with self-organized criticality (SOC). We find also a power-law form for P(tau) that distinguishes this turbulent cascade from the exponential P(tau) Of ideal SOC, but not from some other SOC-Like sandpile models. We discuss the implications for the relation between SOC and turbulence.</t>
  </si>
  <si>
    <t>Watkins, Nicholas Wynn/C-5140-2008; Watkins, Nick/GPX-7439-2022; Freeman, Mervyn/E-5687-2019</t>
  </si>
  <si>
    <t>Watkins, Nicholas Wynn/0000-0003-4484-6588; Watkins, Nick/0000-0003-4484-6588; Freeman, Mervyn/0000-0002-8653-8279</t>
  </si>
  <si>
    <t>AMER PHYSICAL SOC</t>
  </si>
  <si>
    <t>2470-0045</t>
  </si>
  <si>
    <t>2470-0053</t>
  </si>
  <si>
    <t>10.1103/PhysRevE.62.8794</t>
  </si>
  <si>
    <t>WOS:000165879500070</t>
  </si>
  <si>
    <t>Quillfeldt, P; Peter, HU</t>
  </si>
  <si>
    <t>Provisioning and growth in chicks of Wilson's storm-petrels (Oceanites oceanicus) on King George Island, South Shetland Islands</t>
  </si>
  <si>
    <t>FORAGING TRIPS; CALONECTRIS-DIOMEDEA; CORYS SHEARWATER; FEEDING ECOLOGY; EGG SIZE; FOOD; ATTENDANCE; RESOURCE; STRATEGY; LONG</t>
  </si>
  <si>
    <t>We present data on chick growth and chick feeding in Wilson's storm-petrel (Oceanites oceanicus) in a colony on King George Island, South Shetland Islands. Chicks were repeatedly weighed and the weight differences over 24 h were corrected for metabolic loss in order to obtain an estimation of meal sizes. Chicks were fed on 93% of the nights (n = 688 nights). The average meal size for a single feeding was 8.5 g. Chicks received on average 1.2 feedings per night. These results are compared with data for this species from other locations. There was a trend for increased meal sizes from northern to southern populations, parallel to an increase in the adult mass, indicating that Wilson's storm-petrels carry optimal meal sizes according to their body size and may take advantage of increased food abundance by increasing feeding frequencies. We describe chick growth and discuss the influence of egg size, hatching date and feeding frequency on chick growth. The egg size had a positive influence on tarsus growth and body mass of chicks. Later-hatched chicks started wing growth and finished mass growth at a younger age and reached lower peak masses, indicating that late chicks may adapt to the restricted breeding season in their Antarctic breeding grounds by a more rapid development, but will fledge with a lower degree of development and less resources.</t>
  </si>
  <si>
    <t>Univ Jena, Inst Okol, D-07734 Jena, Germany</t>
  </si>
  <si>
    <t>Friedrich Schiller University of Jena</t>
  </si>
  <si>
    <t>Quillfeldt, P (corresponding author), Univ Jena, Inst Okol, Dornburgerstr 159, D-07734 Jena, Germany.</t>
  </si>
  <si>
    <t>bpq@grasshopper.oekologie.uni-jena.de</t>
  </si>
  <si>
    <t>Quillfeldt, Petra/A-9549-2009</t>
  </si>
  <si>
    <t>Quillfeldt, Petra/0000-0002-4450-8688</t>
  </si>
  <si>
    <t>10.1007/s003000000158</t>
  </si>
  <si>
    <t>376DG</t>
  </si>
  <si>
    <t>WOS:000165442500003</t>
  </si>
  <si>
    <t>Kock, KH; Stransky, C</t>
  </si>
  <si>
    <t>The composition of the coastal fish fauna around Elephant Island (South Shetland Islands, Antarctica)</t>
  </si>
  <si>
    <t>STOCKS; STATE; SEA</t>
  </si>
  <si>
    <t>The composition of the coastal fish fauna around Elephant Island (northern South Shetland Islands) was investigated during seven bottom trawl surveys of FRV Walther Herwig, FV Polarstern and FRV Yuzhmorgeologiya from 1981 to 1998. Low-Antarctic (or lesser or peri-Antarctic) fish species were the predominant element of the coastal fish fauna. Large-scale fishing from 1978 to 1981 reduced stock sizes of the most abundant species Champsocephalus gunnari and Notothenia rossii to the extent that only a small fraction of the initial stock remained. After the period of intensive fishing, Gobionotothen gibberfrons became the most abundant species around the island. The by-catch species, which had probably been less affected by harvesting, recovered by the end of the 1980s/beginning of the 1990s. Fish biomass was highest in the 100- to 400-m depth range. An MDS plot revealed the existence of five groups of species that overlapped in their distribution to some extent. One important factor that separated the five groups was depth. Other factors that might have been important in structuring the vertical distribution of the fish fauna, such as bottom topography and sediment type, could not be investigated. Species composition was dominated by a few abundant low-Antarctic species. In four of the five groups, G. gibberifrons was by far the most abundant species, after C. gunnari and N. rossii had been largely eliminated due to fishing. Only in the 100- to 200-m depth range was C. gunnari more abundant than G. gibberifrons. In the 400- to 500-m depth stratum, a high-Antarctic species, Chionodraco rastrospinosus, and Lepidonotothen squamifrons, a species of Patagonian origin which lacks antifreeze glycopeptides, gained some importance. Species richness showed a positive trend with increasing depth. Evenness and Hill's N1 index were highest in the shallowest and deepest depth strata. Hill's N2 index was lowest in depth strata 3 and 4, which had the most even distribution of the abundant fish species.</t>
  </si>
  <si>
    <t>Fundesforschungsanstalt Fischerei, Inst Seefischerei, D-22767 Hamburg, Germany</t>
  </si>
  <si>
    <t>Kock, KH (corresponding author), Fundesforschungsanstalt Fischerei, Inst Seefischerei, Palmaille 9, D-22767 Hamburg, Germany.</t>
  </si>
  <si>
    <t>10.1007/s003000000159</t>
  </si>
  <si>
    <t>WOS:000165442500004</t>
  </si>
  <si>
    <t>Stark, JS</t>
  </si>
  <si>
    <t>The distribution and abundance of soft-sediment macrobenthos around Casey Station, East Antarctica</t>
  </si>
  <si>
    <t>MARINE-ENVIRONMENT; COMMUNITIES; BENTHOS; CONTAMINATION; DISTURBANCES; POLLUTION; DESIGNS; BACI</t>
  </si>
  <si>
    <t>Grab samples of shallow (5-35 m) marine benthic sediments and epi- and infaunal assemblages were taken from nearshore regions around Casey Station, Windmill Islands, East Antarctica. A hierarchical, spatially nested sampling design was used with locations (kilometres apart), sites (hundreds of metres apart) and plots (tens of metres). Two potentially impacted, polluted locations (adjacent to a sewage outfall and an old garbage tip) were compared with two control locations in an asymmetrical design. Significant differences in assemblages were found between locations and between sites within locations. Significant differences in the abundances of taxa at several taxonomic levels (species, family, order, phylum) were found at all three spatial scales. Significant differences were also detected between the polluted and control locations. Compared with other Antarctic locations? the assemblages were dominated by crustaceans (90-97% of individuals) and there was a paucity of polychaete fauna at the locations sampled.</t>
  </si>
  <si>
    <t>Stark, JS (corresponding author), Australian Antarctic Div, Channel Highway, Kingston, Tas 7050, Australia.</t>
  </si>
  <si>
    <t>Stark, Jonathan/ABF-4025-2020</t>
  </si>
  <si>
    <t>Stark, Jonathan/0000-0002-4268-8072</t>
  </si>
  <si>
    <t>10.1007/s003000000162</t>
  </si>
  <si>
    <t>WOS:000165442500006</t>
  </si>
  <si>
    <t>Hidas, MG; Burton, MG; Chamberlain, MA; Storey, JWV</t>
  </si>
  <si>
    <t>Infrared and submillimetre observing conditions on the Antarctic Plateau</t>
  </si>
  <si>
    <t>PUBLICATIONS OF THE ASTRONOMICAL SOCIETY OF AUSTRALIA</t>
  </si>
  <si>
    <t>site : testing; atmospheric effects; infrared : general</t>
  </si>
  <si>
    <t>SOUTH-POLE; SKY BRIGHTNESS; EMISSION</t>
  </si>
  <si>
    <t>The Antarctic Plateau provides the best terrestrial sites for infrared (IR) and submillimetre (sub-mm) astronomy. In this paper we examine the relative importance of temperature, aerosol content and precipitable water vapour to determine which parameters have the greatest influence on atmospheric transmission and sky brightness, We use the atmospheric modelling program MODTRAN to model the observed sky spectrum at the South Pole from the near-IR to the sub-mm. We find that temperature and aerosol content determine the quality of near-IR observing conditions, aerosol content is the determining factor in the mid-IR up to 20 mum. while at longer wavelengths, including the sub-mm, it is the water vapour content that matters. Finding a location where aerosol levels are minimised is a key constraint in determining the optimum site on the Antarctic Plateau for an IR observatory.</t>
  </si>
  <si>
    <t>Univ New S Wales, Sch Phys, Sydney, NSW 2052, Australia</t>
  </si>
  <si>
    <t>University of New South Wales Sydney</t>
  </si>
  <si>
    <t>Hidas, MG (corresponding author), Univ New S Wales, Sch Phys, Sydney, NSW 2052, Australia.</t>
  </si>
  <si>
    <t>Chamberlain, Matthew/D-4805-2012</t>
  </si>
  <si>
    <t>Burton, Michael/0000-0001-7289-1998; Hidas, Marton/0000-0002-4027-9240</t>
  </si>
  <si>
    <t>1323-3580</t>
  </si>
  <si>
    <t>PUBL ASTRON SOC AUST</t>
  </si>
  <si>
    <t>Publ. Astron. Soc. Aust.</t>
  </si>
  <si>
    <t>10.1071/AS00033</t>
  </si>
  <si>
    <t>430NF</t>
  </si>
  <si>
    <t>WOS:000168579500009</t>
  </si>
  <si>
    <t>Winchester-Seeto, T; Foster, C; O'Leary, T</t>
  </si>
  <si>
    <t>The environmental response of Middle Ordovician large organic walled microfossils from the Goldwyer and Nita Formations, Canning Basin, Western Australia</t>
  </si>
  <si>
    <t>REVIEW OF PALAEOBOTANY AND PALYNOLOGY</t>
  </si>
  <si>
    <t>Middle Ordovician; Canning Basin; organic walled microfossils; chitinozoa; facies control</t>
  </si>
  <si>
    <t>LININGS; PALEOENVIRONMENTS; EXAMPLES; LIBYA</t>
  </si>
  <si>
    <t>Middle Ordovician large organic walled microfossils (chitinozoans, scolecodonts, hydrozoans and foraminiferal linings) were recovered from the upper Goldwyer and lower Nita formations, Canning Basin, Western Australia, from three cores (WMC Santalum 1A, Kunzea 1 and Acacia 2). Petrophysical logs of these cores reveal an overall upward shallowing super sequence, overprinted by numerous transgression/regression couplets that can be correlated over 100 km. Analysis of the abundance of the microfossils with respect to the gamma log signatures reveals that both chitinozoan abundance and diversity decrease as water depth shallows; however, the opposite is not always true and other factors probably intervene. Scolecodonts show an increase in abundance in transgressions, while hydrozoans and foraminiferal linings show no consistent response to trangressive or regressive phases. Cyathochitina hunderumensis tends to dominate chitinozoan assemblages where there is a transgression, while species of Belonechitina replace Cy. hunderumensis in regressive phases. (C) 2000 Elsevier Science B.V. All rights reserved.</t>
  </si>
  <si>
    <t>Macquarie Univ, Ctr Ecostratig &amp; Palaeobiol, Dept Earth &amp; Planetary Sci, N Ryde, NSW 2109, Australia; Australian Geol Survey Org, Canberra, ACT 2601, Australia; Univ Tasmania, Inst Antarctic &amp; So Ocean Studies, Hobart, Tas 7001, Australia</t>
  </si>
  <si>
    <t>Macquarie University; Geoscience Australia; University of Tasmania</t>
  </si>
  <si>
    <t>Macquarie Univ, Ctr Ecostratig &amp; Palaeobiol, Dept Earth &amp; Planetary Sci, N Ryde, NSW 2109, Australia.</t>
  </si>
  <si>
    <t>twinches@laurel.ocs.mq.edu.au; clinton.foster@agso.gov.au; teresa.oleary@utas.edu.au</t>
  </si>
  <si>
    <t>Foster, Clinton/0000-0001-6054-6601</t>
  </si>
  <si>
    <t>0034-6667</t>
  </si>
  <si>
    <t>1879-0615</t>
  </si>
  <si>
    <t>REV PALAEOBOT PALYNO</t>
  </si>
  <si>
    <t>Rev. Palaeobot. Palynology</t>
  </si>
  <si>
    <t>10.1016/S0034-6667(00)00060-9</t>
  </si>
  <si>
    <t>Plant Sciences; Paleontology</t>
  </si>
  <si>
    <t>398QQ</t>
  </si>
  <si>
    <t>WOS:000166767500013</t>
  </si>
  <si>
    <t>Arenillas, I; Arz, JA</t>
  </si>
  <si>
    <t>Parvularugoglobigerina eugubina type-sample at Ceselli (Italy):: Planktic foraminiferal assemblage and lowermost Danian biostratigraphic implications</t>
  </si>
  <si>
    <t>RIVISTA ITALIANA DI PALEONTOLOGIA E STRATIGRAFIA</t>
  </si>
  <si>
    <t>planktic foraminifera; taxonomy; biostratigraphy; K/P boundary; Paleocene; Gubbio</t>
  </si>
  <si>
    <t>CRETACEOUS-TERTIARY BOUNDARY; GLOBAL IMPLICATIONS; ANTARCTIC OCEAN; MASS EXTINCTION; TRANSITION; TRISERIAL; RADIATION; TURNOVER; BISERIAL; TUNISIA</t>
  </si>
  <si>
    <t>The Parvularugoglobigerina eugubina Biozone (lowermost Danian) was defined at Gubbio (Italy) to precisely characterise the Cretaceous/Paleogene (WP) boundary. It was defined by the total range of Pv. eugubina, but this small morphospecies presents some taxonomic problems. The Pv. eugubina holotype and the planktic foraminiferal assemblage of the Pv. eugubina type-sample at Ceselli (Ceselli 3) were revised to precise the biostratigraphic posit ion of this biozone. Of the 21 morphospecies identified in Ceselli 3, 14 are early Paleocene species and 7 are possible Cretaceous survivors of the K/P boundary extinction event. To clarify the lowermost Danian biozonation, it was necessary to taxonomically revise Pv. eugubina and Pv. longiapertura, which have both been identified in this sample. Following the definition of Pv, eugubina and the original definition of the nominal biozone, the base of Pv. eugubina Biozone should be placed at the first appearance datum of the eponymous species and not at the first appearance datum of Pv. longiapertura.</t>
  </si>
  <si>
    <t>Univ Zaragoza, Dept Ciencias Tierra Paleontol, E-50009 Zaragoza, Spain; Univ Tubingen, Inst &amp; Museum Geol &amp; Palaontol, D-72076 Tubingen, Germany; Univ Autonoma Nuevo Leon, Fac Ciencias Tierra, Linares 67700, Mexico</t>
  </si>
  <si>
    <t>University of Zaragoza; Eberhard Karls University of Tubingen; Universidad Autonoma de Nuevo Leon</t>
  </si>
  <si>
    <t>Univ Zaragoza, Dept Ciencias Tierra Paleontol, E-50009 Zaragoza, Spain.</t>
  </si>
  <si>
    <t>ias@posta.unizar.es; jarz@ccr.dsi.uanl.mx</t>
  </si>
  <si>
    <t>Arenillas, Ignacio/J-5081-2014; Arz, Jose A/B-5198-2008</t>
  </si>
  <si>
    <t>Arenillas, Ignacio/0000-0003-4632-533X; Arz, Jose A/0000-0003-0063-8752</t>
  </si>
  <si>
    <t>UNIV STUDI MILANO</t>
  </si>
  <si>
    <t>MILANO</t>
  </si>
  <si>
    <t>C/O RIVISTA ITALIANA PALEONTOLOGIA STRATIGRAFIA, VIA MANGIAGALLI, 34, 20133 MILANO, ITALY</t>
  </si>
  <si>
    <t>0035-6883</t>
  </si>
  <si>
    <t>2039-4942</t>
  </si>
  <si>
    <t>RIV ITAL PALEONTOL S</t>
  </si>
  <si>
    <t>Riv. Ital. Paleontol. Stratigr.</t>
  </si>
  <si>
    <t>10.13130/2039-4942/6152</t>
  </si>
  <si>
    <t>391VE</t>
  </si>
  <si>
    <t>WOS:000166376300008</t>
  </si>
  <si>
    <t>Mills, CE</t>
  </si>
  <si>
    <t>The life cycle of Halimedusa typus, with discussion of other species closely related to the family Halimedusidae (Hydrozoa, Capitata, Anthomedusae)</t>
  </si>
  <si>
    <t>SCIENTIA MARINA</t>
  </si>
  <si>
    <t>4th Workshop of the Hydrozoan-Society</t>
  </si>
  <si>
    <t>SEP 19-OCT 03, 1998</t>
  </si>
  <si>
    <t>BODEGA MARINE LAB, BODEGA BAY, CALIFORNIA</t>
  </si>
  <si>
    <t>BODEGA MARINE LAB</t>
  </si>
  <si>
    <t>Halimedusa; Tiaricodon; Urashimea; Boeromedusa; Polyorchis; Spirocodon; Scrippsia</t>
  </si>
  <si>
    <t>HYDROMEDUSAE; CNIDARIA</t>
  </si>
  <si>
    <t>The little-known Anthomedusa Halimedusa typus has been collected from several locations in California, Oregon, and British Columbia on the Pacific coast of the United States. The adult medusa is redescribed based on new observations of living material and is found to have capitate tentacles. Polyps of H. typus were raised several times after spawning field-collected medusae in the laboratory; the cultures on one occasion lived for more than a year. The capitate polyp is solitary and very tiny, emerging from a basal perisarc measuring 200-300 mum in diameter. One cultured polyp produced a medusa, which is described. The taxonomic positions of several other morphologically-similar Anthomedusae in the Capitata are compared and discussed here. Tiaricodon coeruleus and Urashimea globosa are moved from the Polyorchidae to the Halimedusidae, and the similarity of Boeromedusa auricogonia (Boeromedusidae) to all of these medusae and to the genera Polyorchis, Scrippsia and Spirocodon of the family Polyorchidae is considered. The group of species under consideration is basically restricted to the Pacific Ocean, except for T. coeruleus and U. globosa, which have also been collected in the south Atlantic and south Atlantic/Antarctic. It is noted that medusae of the Halimedusidae are typically found quiescent near the surface, whereas those of the Polyorchidae either rest on the bottom or must continue pulsating to stay up in the water column, indicating a basic underlying difference in buoyancy and resultant behavior between the medusae in these two families.</t>
  </si>
  <si>
    <t>Univ Washington, Friday Harbor Labs, Friday Harbor, WA 98250 USA; Univ Washington, Dept Zool, Friday Harbor, WA 98250 USA</t>
  </si>
  <si>
    <t>University of Washington; University of Washington</t>
  </si>
  <si>
    <t>Mills, CE (corresponding author), Univ Washington, Friday Harbor Labs, 620 Univ Rd, Friday Harbor, WA 98250 USA.</t>
  </si>
  <si>
    <t>INST CIENCIAS MAR BARCELONA</t>
  </si>
  <si>
    <t>PASSEIG JOAN DE BORBO, 08039 BARCELONA, SPAIN</t>
  </si>
  <si>
    <t>0214-8358</t>
  </si>
  <si>
    <t>SCI MAR</t>
  </si>
  <si>
    <t>Sci. Mar.</t>
  </si>
  <si>
    <t>408NR</t>
  </si>
  <si>
    <t>WOS:000167332700010</t>
  </si>
  <si>
    <t>Vervoort, W</t>
  </si>
  <si>
    <t>Additional notes on Clathrozoella drygalskii (Vanhoffen, 1910) (Cnidaria, Hydrozoa)</t>
  </si>
  <si>
    <t>Antarctic; Cnidaria; Hydrozoa; Clathrozoidae; Clathrozoella; Clathrozoon; morphology</t>
  </si>
  <si>
    <t>Study of the material of Clathrozoella drygalskii (Vanhoffen, 1910), a hydroid initially referred to the thecate hydroids but probably better classified in athecate hydroids along with such families as Hydractiniidae and Solanderiidae, has been continued with the help of sectioned material. Owing to the conditions of the material available, sectioning proved to be quite difficult; this combined with the poor condition of preservation provided inadequate and inconclusive results, as a result of which the taxonomic position of this enigmatic genus could not be definitely clarified. However, available evidence seems to suggest that the genus Clathrozoella Stechow, 1921, contains at least three species of which one, C. drygaiskii, occurs in Antarctic, New Zealand and Australian waters, a second to the south of Stewart Island south of New Zealand, and a third exclusively (so far) in the Antarctic. Histological details of the two additional species are still lacking and information on the cnidome of the three species is still insufficient.</t>
  </si>
  <si>
    <t>Natl Museum Nat Hist, Leiden, Netherlands</t>
  </si>
  <si>
    <t>Vervoort, W (corresponding author), Natl Museum Nat Hist, Leiden, Netherlands.</t>
  </si>
  <si>
    <t>10.3989/scimar.2000.64s1237</t>
  </si>
  <si>
    <t>WOS:000167332700027</t>
  </si>
  <si>
    <t>de Villiers, S; Compton, JS; Lavelle, M</t>
  </si>
  <si>
    <t>The strontium isotope systematics of the Orange River, Southern Africa</t>
  </si>
  <si>
    <t>SOUTH AFRICAN JOURNAL OF GEOLOGY</t>
  </si>
  <si>
    <t>MAJOR-ION CHEMISTRY; WEATHERING PROCESSES; FLUVIAL GEOCHEMISTRY; HIMALAYAN RIVERS; BASIN; STRATIGRAPHY; CARBON; BUDGET; FLUXES; WATER</t>
  </si>
  <si>
    <t>The Sr-87/Sr-86 ratio of Orange River water increases from 0.7081 at its headwaters in the basalt of the Drakensberg mountains, to a value of 0.7126 before its confluence with the Vaal River tributary. The concomitant increase in Sr concentration is from 0.08 to 1.28 muM. The Vaal River, which drains Precatubrian and Permian/Triassic rocks, has higher Sr concentrations, from 0.95 to 6.69 muM, and more radiogenic Sr-87/Sr-86 values, from 0.713 to 0.731. The geochemistry of the dissolved load of the Orange and Vaal rivers corresponds with that of the dominant catchment lithologies: Jurassic basalt, Permian/Triassic Karoo sediments and Proterozoic/Archaean para- and ortho-gneisses/granitoids. Chemical weathering rates in the Orange River system are at least a factor of 3 lower than the global average value of 36 ton/km(2)/yr. The highest chemical and physical weathering rates occur in the Upper Orange River, associated with high runoff and relief. In the low-relief Vaal River, chemical weathering predominates over physical weathering.</t>
  </si>
  <si>
    <t>Univ Cambridge, Dept Earth Sci, Cambridge CB2 3EQ, England; Univ Cape Town, Dept Geol Sci, ZA-7701 Rondebosch, South Africa; Univ Cambridge, Dept Earth Sci, Cambridge CB2 3EQ, England; British Antarctic Survey, Cambridge CB3 0ET, England</t>
  </si>
  <si>
    <t>University of Cambridge; University of Cape Town; University of Cambridge; UK Research &amp; Innovation (UKRI); Natural Environment Research Council (NERC); NERC British Antarctic Survey</t>
  </si>
  <si>
    <t>de Villiers, S (corresponding author), Univ Cambridge, Dept Earth Sci, Downing St, Cambridge CB2 3EQ, England.</t>
  </si>
  <si>
    <t>de Villiers, Stephanie/A-6079-2008; Compton, John S/E-1767-2013</t>
  </si>
  <si>
    <t>de Villiers, Stephanie/0000-0002-7500-6293</t>
  </si>
  <si>
    <t>GEOLOGICAL SOC SOUTH AFRICA</t>
  </si>
  <si>
    <t>MARSHALLTOWN</t>
  </si>
  <si>
    <t>PO BOX 61809, MARSHALLTOWN 2107, SOUTH AFRICA</t>
  </si>
  <si>
    <t>0371-7208</t>
  </si>
  <si>
    <t>S AFR J GEOL</t>
  </si>
  <si>
    <t>S. Afr. J. Geol.</t>
  </si>
  <si>
    <t>10.2113/1030237</t>
  </si>
  <si>
    <t>580TV</t>
  </si>
  <si>
    <t>WOS:000177252300007</t>
  </si>
  <si>
    <t>Barnes, DKA; De Grave, S</t>
  </si>
  <si>
    <t>Biogeography of Southern polar bryozoans</t>
  </si>
  <si>
    <t>VIE ET MILIEU-LIFE AND ENVIRONMENT</t>
  </si>
  <si>
    <t>Antarctica; bryozoans; Polar Frontal Zone; zoogeography</t>
  </si>
  <si>
    <t>CHECKLIST; PATTERNS</t>
  </si>
  <si>
    <t>Despite the central role of Antarctica in the history and dynamics of oceanography in mid to high latitudes of the southern hemisphere there remains a paucity of biogeographic investigation. Substantial monographs over the last century coupled with major recent revisions have removed many obstacles to modern evaluation of many taxa. Bryozoans, being particularly abundant and speciose in the Southern Ocean, have many useful traits for investigating biogeographic patterns in the southern polar region. They fossilise well, transitory morpho-stages between species are brief and most bryozoans have reduced dispersal opportunities due to possession of benthic larvae. Further to previously described broad faunistic patterns we demonstrate that bryozoans show sub-patterns within the Polar Frontal Zone. Four bryozoogeographical zones are recognised in Antarctica waters: East Antarctic seas, West Antarctic seas, the Antarctic Peninsula and the Scotia Are. We discuss differences between species, genus and family level patterns in three marine orders (of differing geological age) and factors responsible for creation of such distributions.</t>
  </si>
  <si>
    <t>Natl Univ Ireland Univ Coll Cork, Dept Zool &amp; Anim Ecol, Cork, Ireland; Univ Oxford, Museum Nat Hist, Oxford OX1 3PW, England</t>
  </si>
  <si>
    <t>University College Cork; University of Oxford</t>
  </si>
  <si>
    <t>Barnes, DKA (corresponding author), Natl Univ Ireland Univ Coll Cork, Dept Zool &amp; Anim Ecol, Lee Maltings, Cork, Ireland.</t>
  </si>
  <si>
    <t>De Grave, Sammy/0000-0002-2437-2445</t>
  </si>
  <si>
    <t>OBSERVATOIRE OCEANOLOGIQUE BANYULS</t>
  </si>
  <si>
    <t>BANYULS-SUR-MER CEDEX</t>
  </si>
  <si>
    <t>LABORATOIRE ARAGO, BP 44, 66651 BANYULS-SUR-MER CEDEX, FRANCE</t>
  </si>
  <si>
    <t>0240-8759</t>
  </si>
  <si>
    <t>VIE MILIEU</t>
  </si>
  <si>
    <t>Vie Milieu</t>
  </si>
  <si>
    <t>404EV</t>
  </si>
  <si>
    <t>WOS:000167085200006</t>
  </si>
  <si>
    <t>Lonhienne, T; Gerday, C; Feller, G</t>
  </si>
  <si>
    <t>Psychrophilic enzymes: revisiting the thermodynamic parameters of activation may explain local flexibility</t>
  </si>
  <si>
    <t>psychrophile; extremophile; activation free energy; microcalorimetry; stability</t>
  </si>
  <si>
    <t>COLD ADAPTATION; ALTEROMONAS-HALOPLANCTIS; ALPHA-AMYLASE; TEMPERATURE ADAPTATION; ANTARCTIC BACTERIUM; BOVINE TRYPSINS; PURIFICATION; SALMON; SUBTILISIN; STABILITY</t>
  </si>
  <si>
    <t>Basic theoretical and practical aspects of activation parameters are briefly reviewed in the context of cold-adaptation. In order to reduce the error impact inherent to the transition state theory on the absolute values of the free energy (DeltaG(#)), enthalpy (DeltaH(#)) and entropy (DeltaS(#)) of activation, it is proposed to compare the variation of these parameters between psychrophilic and mesophilic enzymes, namely Delta(DeltaG(#))(p-m), Delta(DeltaH(#))(p-m), and Delta(DeltaS(#))(p-m). Calculation of these parameters from the available literature shows that the main adaptation of psychrophilic enzymes lies in a significant decrease of DeltaH(#), therefore leading to a higher k(cat), especially at low temperatures. Moreover, in all cases including cold-blooded animals, DeltaS(#) exerts an opposite and negative effect on the gain in k(cat). It is argued that the magnitude of this counter-effect of DeltaS(#) can be reduced by keeping some stable domains, while increasing the flexibility of the structures required to improve catalysis at low temperature, as demonstrated in several cold-active enzymes. This enthalpic-entropic balance provides a new approach explaining the two types of conformational stability detected by recent microcalorimetric experiments on psychrophilic enzymes. (C) 2000 Elsevier Science B.V. All rights reserved.</t>
  </si>
  <si>
    <t>Univ Liege, Inst Chem B6, Biochem Lab, B-4000 Liege, Belgium</t>
  </si>
  <si>
    <t>University of Liege</t>
  </si>
  <si>
    <t>Univ Liege, Inst Chem B6, Biochem Lab, B-4000 Liege, Belgium.</t>
  </si>
  <si>
    <t>gfeller@ulg.ac.be</t>
  </si>
  <si>
    <t>Lonhienne, Thierry/A-5828-2011</t>
  </si>
  <si>
    <t>NOV 30</t>
  </si>
  <si>
    <t>10.1016/S0167-4838(00)00210-7</t>
  </si>
  <si>
    <t>379GP</t>
  </si>
  <si>
    <t>WOS:000165633900001</t>
  </si>
  <si>
    <t>Ciardiello, MA; Camardella, L; Carratore, V; di Prisco, G</t>
  </si>
  <si>
    <t>L-glutamate dehydrogenase from the Antarctic fish Chaenocephalus aceratus -: Primary structure, function and thermodynamic characterisation:: relationship with cold adaptation</t>
  </si>
  <si>
    <t>glutamate dehydrogenase; cold adaptation; amino acid sequence; kinetic analysis; thermodynamic analysis; Antarctic fish</t>
  </si>
  <si>
    <t>AMINO-ACID-SEQUENCE; NICOTINAMIDE-ADENINE-DINUCLEOTIDE; NUCLEOTIDE-SEQUENCE; CLOSTRIDIUM-SYMBIOSUM; ESCHERICHIA-COLI; BINDING DOMAIN; ENCODING GENE; LIVER; IDENTIFICATION; PHOSPHATE</t>
  </si>
  <si>
    <t>In order to study the molecular mechanisms of enzyme cold adaptation, direct amino acid sequence, catalytic features, thermal stability and thermodynamics of the reaction and of heat inactivation of L-glutamate dehydrogenase (GDH) from the liver of the Antarctic fish Chaenocephalus aceratus (suborder Notothenioidei, family Channichthyidae) were investigated. The enzyme shows dual coenzyme specificity, is inhibited by GTP and the forward reaction is activated by ADP and ATP. The complete primary structure of C. aceratus GDH has been established; it is the first amino acid sequence of a fish GDH to be described. In comparison with homologous mesophilic enzymes, the amino acid substitutions suggest a less compact molecular structure with a reduced number of salt bridges. Functional characterisation indicates efficient compensation of Q(10), achieved by increased k(cat) and modulation of S-0.5, which produce a catalytic efficiency at low temperature very similar to that of bovine GDH at its physiological temperature. The structural and functional characteristics are indicative of a high extent of protein flexibility. This property seems to find correspondence in the heat inactivation of Antarctic and bovine enzymes, which are inactivated at very similar temperature, but with different thermodynamics. (C) 2000 Elsevier Science B.V. All rights reserved.</t>
  </si>
  <si>
    <t>CNR, Inst Prot Biochem &amp; Enzymol, Via Marconi 10, I-80125 Naples, Italy.</t>
  </si>
  <si>
    <t>diprisco@dafne.ibpe.na.cnr.it</t>
  </si>
  <si>
    <t>Ciardiello, Maria Antonietta/AFB-6964-2022</t>
  </si>
  <si>
    <t>Ciardiello, Maria Antonietta/0000-0002-7203-0554</t>
  </si>
  <si>
    <t>10.1016/S0167-4838(00)00186-2</t>
  </si>
  <si>
    <t>WOS:000165633900002</t>
  </si>
  <si>
    <t>Stoner, JS; Channell, JET; Hillaire-Marcel, C; Kissel, C</t>
  </si>
  <si>
    <t>Geomagnetic paleointensity and environmental record from Labrador Sea core MD95-2024: global marine sediment and ice core chronostratigraphy for the last 110 kyr</t>
  </si>
  <si>
    <t>paleomagnetism; magnetic intensity; Holocene; chronostratigraphy; climate change; Labrador Sea; ice cores</t>
  </si>
  <si>
    <t>NORTH-ATLANTIC; HEINRICH EVENTS; CLIMATE RECORDS; ISOTOPE RECORD; SOUTH ATLANTIC; ANTARCTIC ICE; NORDIC SEAS; GREENLAND; FIELD; TEPHROCHRONOLOGY</t>
  </si>
  <si>
    <t>Piston core MD95-2024 from the Labrador Rise provides a continuous record of rapidly deposited detrital layers denoting Laurentide ice sheet (LIS) instability. The core also provides a high-resolution record of geomagnetic paleointensity, that is consistent with, but at higher temporal resolution than previous Labrador Sea records. Correlation to the Greenland Summit ice cores (GRIP/GISP2) is achieved by assuming that Labrador Sea detrital layers correspond to cold stadials in the ice cores. This allows a GISP2 official chronology to be placed on MD95-2024 which is consistent with the inverse correlation between paleointensity and the flux of cosmogenic isotopes (Be-10 and Cl-36) in Greenland ice cores. Synchronous millennial scale variability observed from the MD95-2024 paleointensity record and a North Atlantic paleointensity stack (NAPIS-75) [C. Laj et al., Philos. Trans. R. Sec. Ser. A 358 (2000) 1009-1025], independently placed on the GISP2 official chronology [IC. Kissel et al., Earth Planet. Sci. Lett. 171 (1999) 489-502], further support the sediment to ice core correlation. High-resolution paleointensity and oxygen isotope records from the North Atlantic, Mediterranean, Somali Basin, sub-Antarctic South Atlantic and the relative flux of Be-10 in Vostok (Antarctic) ice core are used to derive a common chronostratigraphy that neither violates the regional (millennial) or global (orbital) scale environmental stratigraphics. The resulting correlation circuit places the ice core and marine records on a common GISP2 official chronology, which indicates discrepancies as high as 5 kyr between the GISP2 and SPECMAP time scales. It further demonstrates that LIS instabilities in the Hudson Strait area are synchronous with cooling in the Greenland Summit ice cores and warming in the sub-Antarctic South Atlantic and in the Vostok ice core. Geomagnetic field intensity shows common global variance at millennial time scales which, in view of the out-of-phase interhemispheric climate variability, cannot be attributed to climatic contamination of the paleointensity records. (C) 2000 Elsevier Science B.V. Al rights reserved.</t>
  </si>
  <si>
    <t>Univ Calif Davis, Dept Geol, Livermore, CA 95616 USA; Univ Florida, Dept Geol Sci, Gainesville, FL 32611 USA; Univ Quebec, Geotop, Montreal, PQ H3C 3P8, Canada; Lab Sci Climat &amp; Environm, F-91198 Gif Sur Yvette, France</t>
  </si>
  <si>
    <t>University of California System; University of California Davis; State University System of Florida; University of Florida; University of Quebec; University of Quebec Montreal; CEA; Centre National de la Recherche Scientifique (CNRS); Universite Paris Saclay</t>
  </si>
  <si>
    <t>Univ Calif Davis, Dept Geol, Livermore, CA 95616 USA.</t>
  </si>
  <si>
    <t>stoner@geology.ucdavis.edu</t>
  </si>
  <si>
    <t>Catherine, Kissel/AAH-1647-2019; Hillaire-Marcel, Claude/H-1441-2012; Hillaire-Marcel, Claude/C-9153-2013</t>
  </si>
  <si>
    <t>Catherine, Kissel/0000-0002-2572-2742; Hillaire-Marcel, Claude/0000-0002-3733-4632</t>
  </si>
  <si>
    <t>10.1016/S0012-821X(00)00272-7</t>
  </si>
  <si>
    <t>377PD</t>
  </si>
  <si>
    <t>WOS:000165521200014</t>
  </si>
  <si>
    <t>Johnson, KTM; Graham, DW; Rubin, KH; Nicolaysen, K; Scheirer, DS; Forsythe, DW; Baker, ET; Douglas-Priebe, LM</t>
  </si>
  <si>
    <t>Boomerang Seamount: the active expression of the Amsterdam-St. Paul hotspot, Southeast Indian Ridge</t>
  </si>
  <si>
    <t>mantle plumes; hot spots; Southeast Indian Ridge; hydrothermal conditions; Amsterdam Island; Saint Paul Island</t>
  </si>
  <si>
    <t>RODRIGUEZ TRIPLE JUNCTION; KERGUELEN PLUME; SEA-FLOOR; BASALTS; OCEAN; GEOCHEMISTRY; ARCHIPELAGO; PLATEAU; SR; ANTARCTICA</t>
  </si>
  <si>
    <t>During a survey of the axis of the Southeast Indian Ridge (SEIR), we discovered a 1100 m tall, volcanically active submarine volcano, Boomerang Seamount, near the spreading center on the Amsterdam-St. Paul (ASP) Plateau. The: summit of the volcano is 650 m below sea level and has a 200-m-deep, 2-km-wide circular caldera. Samples of very fresh volcanic glass, dated by the Po-210-Pb-210 technique at similar to5 months old, were collected from the floor of the caldera in March 1996. The volcano is 18 km northeast of Amsterdam Island near the intersection of a long spreading segment and the Boomerang Transform Fault. It is built on the stationary Antarctic Plate, where widely scattered volcanic activity thickens the crust, continuing to build the plateau. Water column profiles reveal a 1.7 degreesC temperature anomaly and a 0.3 V stepped nephelometer (water column turbidity) anomaly within the caldera, nearly an order of magnitude larger than other hydrothermal plume anomalies we measured. These anomalies suggest hydrothermal activity within the caldera. Volcanic glass compositions at two sample sites on the volcano summit are similar to each other and to Amsterdam and St. Paul Island basalts, but have some important differences as well. K2O/TiO2 ratios in Boomerang Seamount glasses are similar to St. Paul Island samples, but differ significantly from Amsterdam Island samples. Rare earth element patterns in lavas from Boomerang, Amsterdam, and St. Paul are similar. Sr, Nd, and Pb isotope ratios in samples from the Boomerang Caldera floor are similar to samples from Amsterdam Island. However, another sample from Boomerang Seamount deviates from a SEIR-St. Paul-Amsterdam mixing trend and shows evidence of mixing with a Kerguelen-like source component. The geochemical complexity of these three closely spaced volcanic edifices on the ASP Plateau suggests that the Boomerang Seamount source is heterogeneous on a very small scale. (C) 2000 Elsevier Science B.V. All rights reserved.</t>
  </si>
  <si>
    <t>Bishop Museum, Dept Geol, Honolulu, HI 96817 USA; Oregon State Univ, Coll Ocean &amp; Atmospher Sci, Corvallis, OR 97331 USA; Univ Hawaii, Dept Geol &amp; Geophys, Honolulu, HI 96822 USA; MIT, Dept Earth Atmospher &amp; Planetary Sci, Cambridge, MA 02139 USA; Brown Univ, Dept Geol Sci, Providence, RI 02912 USA; NOAA, Pacific Marine Environm Lab, Seattle, WA 98115 USA</t>
  </si>
  <si>
    <t>Oregon State University; University of Hawaii System; Massachusetts Institute of Technology (MIT); Brown University; National Oceanic Atmospheric Admin (NOAA) - USA</t>
  </si>
  <si>
    <t>Johnson, KTM (corresponding author), Bishop Museum, Dept Geol, Honolulu, HI 96817 USA.</t>
  </si>
  <si>
    <t>Graham, David/C-3612-2014; Baker, Edward/C-7688-2015; Rubin, Kenna Harmony/B-3685-2008</t>
  </si>
  <si>
    <t>Graham, David/0000-0002-7411-1905; Rubin, Kenna Harmony/0000-0002-8554-1337; Johnson, Kevin/0000-0002-5868-4973</t>
  </si>
  <si>
    <t>10.1016/S0012-821X(00)00279-X</t>
  </si>
  <si>
    <t>WOS:000165521200020</t>
  </si>
  <si>
    <t>Knight, G; Ravishankara, AR; Burkholder, JB</t>
  </si>
  <si>
    <t>Laboratory studies of OBrO</t>
  </si>
  <si>
    <t>BROMINE DIOXIDES; RATE COEFFICIENT; ANTARCTIC OZONE; AB-INITIO; SPECTRUM; SYSTEM; OCLO</t>
  </si>
  <si>
    <t>UV/vis absorption cross sections for gas phase OBrO at room temperature were measured using a fast gas flow absorption cell and a diode array spectrometer. The OBrO concentration was determined by chemical titration NO + OBrO --&gt; NO2 + BrO (1) with quantitative measurement of the NO2 product by UV absorption. The cross section at the peak of the C (2)A(2) (710) &lt;-- X B-2(1) (000) transition, 491 nm, was determined to be (1.8 +/- 0.5) x 10(-17) cm(2) molecule(-1). During these measurements another gas phase UV absorber was observed to originate from the OBrO source. The possible identity of this species and its influence on the OBrO absorption cross section determination are discussed.</t>
  </si>
  <si>
    <t>NOAA, Aeron Lab, Boulder, CO 80303 USA; Univ Colorado, CIRES, Boulder, CO 80309 USA; Univ Colorado, Dept Chem &amp; Biochem, Boulder, CO 80309 USA</t>
  </si>
  <si>
    <t>National Oceanic Atmospheric Admin (NOAA) - USA; University of Colorado System; University of Colorado Boulder; University of Colorado System; University of Colorado Boulder</t>
  </si>
  <si>
    <t>NOAA, R-AL2,325 Broadway, Boulder, CO 80305 USA.</t>
  </si>
  <si>
    <t>Burk@al.noaa.gov</t>
  </si>
  <si>
    <t>Ravishankara, Akkihebbal R/A-2914-2011; Burkholder, James B/H-4914-2013</t>
  </si>
  <si>
    <t>1520-5215</t>
  </si>
  <si>
    <t>10.1021/jp002226u</t>
  </si>
  <si>
    <t>378TN</t>
  </si>
  <si>
    <t>WOS:000165600500016</t>
  </si>
  <si>
    <t>Martin, TJ; Gardiner, BG; Seckmeyer, G</t>
  </si>
  <si>
    <t>Uncertainties in satellite-derived estimates of surface UV doses</t>
  </si>
  <si>
    <t>TOTAL OZONE; ULTRAVIOLET-RADIATION; MULTIPLE-SCATTERING; IRRADIANCE; TOMS; MODEL</t>
  </si>
  <si>
    <t>Satellite-derived maps of surface UV irradiance are currently limited by their poorly assessed accuracy. Here we use an extensive data set of ground-based spectral measurements from two Alpine sites to examine the level of uncertainty expected in model results due to the time-limited nature of some satellite data. When the ozone column, cloud optical depth, and aerosol optical depth supplied to a radiative transfer model are fixed to a single noontime value, the root-mean-square difference between calculations and measurements of the erythemal daily dose is about 20%. The corresponding uncertainty in the monthly dose is less than 5%. The modeled results also show a systematic error that depends on cloud optical depth. The results suggest that satellite-derived maps of UV irradiance cannot be expected to produce accurate values of the daily dose if they rely on a single estimate of the cloud conditions but may be able to provide reasonable estimates of the monthly dose.</t>
  </si>
  <si>
    <t>British Antarctic Survey, Cambridge CB3 0ET, England; Leibniz Univ Hannover, Inst Meteorol &amp; Climatol, D-30419 Hannover, Germany; Fraunhofer Inst Atmosphar Umweltforsch, Garmisch Partenkirchen, Germany</t>
  </si>
  <si>
    <t>UK Research &amp; Innovation (UKRI); Natural Environment Research Council (NERC); NERC British Antarctic Survey; Leibniz University Hannover; Fraunhofer Gesellschaft</t>
  </si>
  <si>
    <t>Martin, TJ (corresponding author), Karl Franzens Univ Graz, Inst Meteorol &amp; Geophys, Halbaerthgasse 1, A-8010 Graz, Austria.</t>
  </si>
  <si>
    <t>timothy.martin@gmx.de; brian.gardiner@bas.ac.uk; seckmeyer@muk.uni-hannover.de</t>
  </si>
  <si>
    <t>Martin, Tara J/F-2570-2017</t>
  </si>
  <si>
    <t>NOV 27</t>
  </si>
  <si>
    <t>D22</t>
  </si>
  <si>
    <t>10.1029/2000JD900432</t>
  </si>
  <si>
    <t>378MY</t>
  </si>
  <si>
    <t>WOS:000165589200015</t>
  </si>
  <si>
    <t>Detrich, HW; Parker, SK; Williams, RC; Nogales, E; Downing, KH</t>
  </si>
  <si>
    <t>Cold adaptation of microtubule assembly and dynamics -: Structural interpretation of primary sequence changes present in the α- and β-tubulins of antarctic fishes</t>
  </si>
  <si>
    <t>JOURNAL OF BIOLOGICAL CHEMISTRY</t>
  </si>
  <si>
    <t>PHENOL-CHLOROFORM EXTRACTION; SINGLE-STEP METHOD; LOW-TEMPERATURES; IN-VITRO; NOTOTHENIA-CORIICEPS; BRAIN TUBULIN; RNA ISOLATION; PROTEIN; EVOLUTION; ISOTYPES</t>
  </si>
  <si>
    <t>The microtubules of Antarctic fishes, unlike those of homeotherms, assemble at very low temperatures (-1.8 degreesC). The adaptations that enhance assembly of these microtubules are intrinsic to the tubulin dimer and reduce its critical concentration for polymerization at 0 degreesC to similar to0.9 mg/ml (Williams, R, C., Jr., Correia, J. J., and DeVries, A. L. (1985) Biochemistry 24, 2790-2798). Here we demonstrate that microtubules formed by pure brain tubulins of Antarctic fishes exhibit slow dynamics at both low (5 degreesC) and high (25 degreesC) temperatures; the rates of polymer growth and shortening and the frequencies of interconversion between these states are small relative to those observed for mammalian microtubules (37 degreesC). To investigate the contribution of tubulin primary sequence variation to the functional properties of the microtubules of Antarctic fishes, we have sequenced brain cDNAs that encode 9 alpha -tubulins and 4 beta -tubulins from the yellowbelly rockcod Notothenia coriiceps and 4 alpha -tubulins and 2 beta -tubulins from the ocellated icefish Chionodraco rastrospinosus. The tubulins of these fishes mere found to contain small sets of unique or rare residue substitutions that mapped to the lateral, interprotofilament surfaces or to the interiors of the alpha- and beta -polypeptides; longitudinal interaction surfaces are not altered in the fish tubulins. Four changes (A278T and S287T in alpha; S280G and A285S in beta) were present in the S7-H9 interprotofilament ''M'' loops of some monomers and would be expected to increase the flexibility of these regions. A fifth lateral substitution specific to the alpha -chain (M302L or M302F) may increase the hydrophobicity of the interprotofilament interaction. Two hydrophobic substitutions (alpha :S187A in helix H5 and beta :Y202F in sheet S6) may act to stabilize the monomers in conformations favorable to polymerization. We propose that cold adaptation of microtubule assembly in Antarctic fishes has occurred in part by evolutionary restructuring of the lateral surfaces and the cores of the tubulin monomers.</t>
  </si>
  <si>
    <t>Northeastern Univ, Dept Biol, Boston, MA 02115 USA; Vanderbilt Univ, Dept Mol Biol, Nashville, TN 37235 USA; Univ Calif Berkeley, Lawrence Berkeley Lab, Div Life Sci, Berkeley, CA 94720 USA</t>
  </si>
  <si>
    <t>Northeastern University; Vanderbilt University; University of California System; University of California Berkeley; United States Department of Energy (DOE); Lawrence Berkeley National Laboratory</t>
  </si>
  <si>
    <t>Detrich, HW (corresponding author), Northeastern Univ, Dept Biol, 414 Mugar Hall,360 Huntington Ave, Boston, MA 02115 USA.</t>
  </si>
  <si>
    <t>NIGMS NIH HHS [GM25638, GM46033] Funding Source: Medline</t>
  </si>
  <si>
    <t>NIGMS NIH HHS(United States Department of Health &amp; Human ServicesNational Institutes of Health (NIH) - USANIH National Institute of General Medical Sciences (NIGMS))</t>
  </si>
  <si>
    <t>AMER SOC BIOCHEMISTRY MOLECULAR BIOLOGY INC</t>
  </si>
  <si>
    <t>9650 ROCKVILLE PIKE, BETHESDA, MD 20814 USA</t>
  </si>
  <si>
    <t>0021-9258</t>
  </si>
  <si>
    <t>J BIOL CHEM</t>
  </si>
  <si>
    <t>J. Biol. Chem.</t>
  </si>
  <si>
    <t>NOV 24</t>
  </si>
  <si>
    <t>10.1074/jbc.M005699200</t>
  </si>
  <si>
    <t>378GY</t>
  </si>
  <si>
    <t>WOS:000165577700082</t>
  </si>
  <si>
    <t>Matear, RJ; Hirst, AC; McNeil, BI</t>
  </si>
  <si>
    <t>Matear, R. J.; Hirst, A. C.; McNeil, B. I.</t>
  </si>
  <si>
    <t>Changes in dissolved oxygen in the Southern Ocean with climate change</t>
  </si>
  <si>
    <t>Dissolved oxygen; climate change; outgassing; climate change detection; climate model validation</t>
  </si>
  <si>
    <t>Climate models predict that increasing greenhouse gases in the atmosphere will change our climate. However, the range of observations available to assess these model predictions is limited. We have utilized an ocean biogeochemical model to project the impact of climate change on the oxygen cycle in the ocean and the air-sea exchange of oxygen. With climate change, our model predicts an outgassing of oxygen from the ocean. In the model, the Southern Ocean is the region that displays the largest change in the air-sea exchange of oxygen with climate change. The reduced oxygen uptake in the Southern Ocean is dominated by a reduction in convective mixing and in the subduction rate of bottom water which decreases the amount of dissolved oxygen in the Southern Ocean circulation revealing the potential to use dissolved oxygen to test model predictions of climate change. From Southern Ocean observations collected 28 years a part we observed a decrease in dissolved oxygen that was consistent with model climate change simulation. This provides credibility to the climate model predictions. Additional analysis and observations of dissolved oxygen are needed to substantiate our climate model simulations.</t>
  </si>
  <si>
    <t>[Matear, R. J.] Commonwealth Sci &amp; Ind Res Org, Marine Res &amp; Antarctic Cooperat Res Ctr, Hobart, Tas 7001, Australia; [Hirst, A. C.] CSIRO, Div Atmospher Res, Aspendale, Vic 3195, Australia; [McNeil, B. I.] Univ Tasmania, Antarctic Cooperat Res Ctr, Hobart, Tas 7001, Australia; [McNeil, B. I.] Univ Tasmania, Inst Antarctic &amp; So Ocean Studies, Hobart, Tas 7001, Australia</t>
  </si>
  <si>
    <t>Commonwealth Scientific &amp; Industrial Research Organisation (CSIRO); Commonwealth Scientific &amp; Industrial Research Organisation (CSIRO); University of Tasmania; University of Tasmania</t>
  </si>
  <si>
    <t>Matear, RJ (corresponding author), Commonwealth Sci &amp; Ind Res Org, Marine Res &amp; Antarctic Cooperat Res Ctr, GPO Box 1538, Hobart, Tas 7001, Australia.</t>
  </si>
  <si>
    <t>richard.matear@marine.csiro.au; tony.hirst@dar.csiro.au; ben.mcneil@marine.csiro.au</t>
  </si>
  <si>
    <t>Hirst, Anthony/N-1041-2014; Hirst, Anthony/E-2756-2013; matear, richard/C-5133-2011</t>
  </si>
  <si>
    <t>matear, richard/0000-0002-3225-0800; McNeil, Ben/0000-0001-5765-7087</t>
  </si>
  <si>
    <t>We are greateful to S. Rintoul and B.Tilbrook for the valuable discussion of our research. Funds for our research were provided by Environment Australia Climate Change Research Program.</t>
  </si>
  <si>
    <t>NOV 21</t>
  </si>
  <si>
    <t>10.1029/2000GC000086</t>
  </si>
  <si>
    <t>V22KD</t>
  </si>
  <si>
    <t>WOS:000208273200002</t>
  </si>
  <si>
    <t>Murphy, DJ; Vincent, RA</t>
  </si>
  <si>
    <t>Amplitude enhancements in Antarctic MF radar echoes</t>
  </si>
  <si>
    <t>MESOSPHERE SUMMER ECHOES; POLAR MESOSPHERE; MESOPAUSE TEMPERATURES; NOCTILUCENT CLOUDS; WATER-VAPOR; PMSE; NORTHERN; LATITUDES; REGION</t>
  </si>
  <si>
    <t>Enhancements in the amplitude of returns from a medium-frequency (MF) radar at Davis, Antarctica, have been identified and their potential use as a measure of polar mesosphere summer echoes (PMSE) has been explored. A method for finding these enhancements has been applied to data spanning the period from mid-1995 to the end of 1997. The character of these enhancements on short and long timescales has been studied, and factors that may affect their detection have been considered. It has been found that they are short-lived (2 min or less being most common) and largely limited to the months around summer. Apart from describing the character of these amplitude enhancements, this study illustrates the potential pitfalls associated with identifying a proxy measure of PMSE.</t>
  </si>
  <si>
    <t>Australian Antarctic Div, Kingston, Tas 7050, Australia; Univ Adelaide, Dept Phys &amp; Math Phys, Adelaide, SA 5005, Australia</t>
  </si>
  <si>
    <t>Australian Antarctic Division; University of Adelaide</t>
  </si>
  <si>
    <t>Murphy, DJ (corresponding author), Australian Antarctic Div, Channel Highway, Kingston, Tas 7050, Australia.</t>
  </si>
  <si>
    <t>damian.murphy@aad.gov.au; robert.vincent@adelaide.edu.au</t>
  </si>
  <si>
    <t>NOV 16</t>
  </si>
  <si>
    <t>D21</t>
  </si>
  <si>
    <t>10.1029/2000JD900510</t>
  </si>
  <si>
    <t>375VH</t>
  </si>
  <si>
    <t>WOS:000165421600027</t>
  </si>
  <si>
    <t>Bart, PJ; Anderson, JB</t>
  </si>
  <si>
    <t>Relative temporal stability of the Antarctic ice sheets during the late Neogene based on the minimum frequency of outer shelf grounding events</t>
  </si>
  <si>
    <t>Antarctic ice sheet; Antarctic Peninsula; ice caps; Neogene; seismic stratigraphy</t>
  </si>
  <si>
    <t>PLEISTOCENE-HOLOCENE RETREAT; CENOZOIC GLACIAL HISTORY; STRATIGRAPHIC SIGNATURE; ROSS EMBAYMENT; SYSTEM; SEA</t>
  </si>
  <si>
    <t>The stability of the Antarctic cryosphere involves two fundamental aspects: the magnitude of ice volume changes, and the frequency of ice volume changes. In this article, we synthesize results from three regional seismic stratigraphic studies of the continental shelf to evaluate the relative frequency of extreme advances of the ice sheets during the late Neogene for different sectors of the Antarctic ice sheet. Detailed analyses of glacial unconformities on the eastern and western Ross Sea outer continental shelf indicate that there were at least eight episodes during the late Neogene when the East Antarctic ice sheet (EAIS) and the West Antarctic ice sheet (WAIS) were significantly larger. The seismic results from the shelf do not support the conventional view that the land-based EAIS was relatively stable and that the marine-based WAIS was relatively dynamic. Glacial unconformities on the Pacific continental shelf of the Antarctic Peninsula indicate that there were at least 30 outer shelf ice sheet expansions during the late Neogene. This suggests that the small land-based Antarctic Peninsula Ice Cap (APIC) may have been the mo st dynamic component of the Antarctic cryosphere. Conversely, the greater number of grounding events on the Antarctic Peninsula shelf may be a result of the margin's younger thermal age and hence greater potential to preserve units and unconformities during the late Neogene. We acknowledge that the available chronostratigraphic control from the Antarctic margin is poor, and that more chronological data are needed to confirm our late Neogene age assignments. (C) 2000 Elsevier Science B.V. All rights reserved.</t>
  </si>
  <si>
    <t>Louisiana State Univ, Dept Geol &amp; Geophys, Baton Rouge, LA 70803 USA; Rice Univ, Dept Geol &amp; Geophys, Houston, TX 77251 USA</t>
  </si>
  <si>
    <t>Louisiana State University System; Louisiana State University; Rice University</t>
  </si>
  <si>
    <t>Louisiana State Univ, Dept Geol &amp; Geophys, Baton Rouge, LA 70803 USA.</t>
  </si>
  <si>
    <t>pbart@geol.lsu.edu</t>
  </si>
  <si>
    <t>NOV 15</t>
  </si>
  <si>
    <t>10.1016/S0012-821X(00)00257-0</t>
  </si>
  <si>
    <t>372UT</t>
  </si>
  <si>
    <t>WOS:000165253000006</t>
  </si>
  <si>
    <t>Fahnestock, MA; Scambos, TA; Shuman, CA; Arthern, RJ; Winebrenner, DP; Kwok, R</t>
  </si>
  <si>
    <t>Snow megadune fields on the East Antarctic Plateau: extreme atmosphere-ice interaction</t>
  </si>
  <si>
    <t>Large dune fields occupy more than 500,000 km(2) of the East Antarctic Plateau. The megadunes, or long-wavelength surface ripples, have amplitudes of only a few meters, wavelengths of a few kilometers, and parallel crests which can extend one hundred kilometers. They occur in areas characterized by low accumulation, extensively recrystallized snow, and strong scattering of the microwave part of the spectrum. Dune crests are oriented perpendicular to the regional katabatic wind direction. Snow megadunes are unlikely to be formed by simple wind transport of snow particles.</t>
  </si>
  <si>
    <t>Univ Maryland, Earth Syst Sci Interdisciplinary Ctr, College Pk, MD 20742 USA; Univ Colorado, CIRES, Natl Snow &amp; Ice Data Ctr, Boulder, CO 80309 USA; CALTECH, Jet Prop Lab, Pasadena, CA 91109 USA</t>
  </si>
  <si>
    <t>University System of Maryland; University of Maryland College Park; University of Colorado System; University of Colorado Boulder; National Aeronautics &amp; Space Administration (NASA); NASA Jet Propulsion Laboratory (JPL); California Institute of Technology</t>
  </si>
  <si>
    <t>Fahnestock, MA (corresponding author), Univ Maryland, Earth Syst Sci Interdisciplinary Ctr, College Pk, MD 20742 USA.</t>
  </si>
  <si>
    <t>Fahnestock, Mark A/N-2678-2013; Kwok, Ron/A-9762-2008; Kwok, Ronald/L-3968-2019; Scambos, Ted A/B-1856-2009</t>
  </si>
  <si>
    <t>Kwok, Ron/0000-0003-4051-5896; Kwok, Ronald/0000-0003-4051-5896; SCAMBOS, Ted A./0000-0003-4268-6322</t>
  </si>
  <si>
    <t>10.1029/1999GL011248</t>
  </si>
  <si>
    <t>375TW</t>
  </si>
  <si>
    <t>WOS:000165418200029</t>
  </si>
  <si>
    <t>Kamenkovich, IV; Goodman, PJ</t>
  </si>
  <si>
    <t>The dependence of AABW transport in the Atlantic on vertical diffusivity</t>
  </si>
  <si>
    <t>GENERAL-CIRCULATION MODELS; SCALE WATER MASSES; OCEAN</t>
  </si>
  <si>
    <t>Simple theoretical arguments are employed to study the dependence of the volume and transport of the Antarctic Bottom Water (AABW) in the Atlantic Ocean on the vertical diffusivity. We have found that while the vertical extent of the AABW cell decreases with the intensification and deepening of the North Atlantic overturning cell, the transport of AABW into the Atlantic increases. The latter fact is explained by the increase in the deep meridional pressure gradient, which drives die flow. An estimate of the AABW transport is then derived from the density balance in the deep western boundary layer.</t>
  </si>
  <si>
    <t>Univ Washington, JISAO, Seattle, WA 98195 USA</t>
  </si>
  <si>
    <t>Kamenkovich, IV (corresponding author), Univ Washington, JISAO, Box 354235, Seattle, WA 98195 USA.</t>
  </si>
  <si>
    <t>Kamenkovich, Igor/AAG-3451-2019</t>
  </si>
  <si>
    <t>Goodman, Paul/0000-0002-1824-5845; Kamenkovich, Igor/0000-0001-6228-5599</t>
  </si>
  <si>
    <t>10.1029/2000GL011675</t>
  </si>
  <si>
    <t>WOS:000165418200034</t>
  </si>
  <si>
    <t>Hines, KM; Bromwich, DH; Marshall, GJ</t>
  </si>
  <si>
    <t>Artificial surface pressure trends in the NCEP-NCAR reanalysis over the southern ocean and Antarctica</t>
  </si>
  <si>
    <t>PACIFIC; PROJECT; SYSTEM</t>
  </si>
  <si>
    <t>An examination of 50 years of the National Centers for Environmental Prediction (NCEP)-National Center for Atmospheric Research (NCAR) reanalysis from 1949 to 1998 reveals that significant spurious trends occur in the surface pressure held. Long-term surface pressure reductions are apparent south of 45 degreesS. The largest trend in surface pressure is near 65 degreesS where an approximately steady long-term pressure reduction of about 0.20 hPa yr(-1) (10 hPa in 50 yr) is located. The negative pressure trend represents a gradual reduction in a positive bias for the reanalysis Observations at Antarctic stations do not support this long-term trend, although short-term interannual variations are reasonably well captured after about 1970. The negative pressure tendency near 65 degreesS continues well into the 1990s although a reasonable number of stations between 65 degrees and 70 degreesS began taking observations along the coast of east Antarctica during the 1950s and 1960s. Few Antarctic observations, however, are used by the reanalysis until about 1968, and the quality of the pressure field for the reanalysis appears poor in high southern latitudes prior to then. The trend in high southern latitudes appears to be a component of global temporal variations in the reanalysis;some of which are supported by observations but others are not. In the Southern Hemisphere, the sea level pressure difference between 40 degrees and 60 degreesS, an indicator of westerly wind intensity, increases approximately from 20 hPa in the early 1950s to 25 hPa in the early 1970s and 28 hPa in recent years. The relatively high density of observing stations along the Antarctic Peninsula, however, results in an approximately steady local surface pressure after the pressure fell about 4 hPa during the late 1950s. Based upon these findings, researchers should account for jumps and long-term trends when making use of the NCEP-NCAR reanalysis.</t>
  </si>
  <si>
    <t>Ohio State Univ, Byrd Polar Res Ctr, Polar Meteorol Grp, Columbus, OH 43210 USA; Ohio State Univ, Byrd Polar Res Ctr, Polar Meteorol Grp, Columbus, OH 43210 USA; Ohio State Univ, Dept Geog, Atmospher Sci Program, Columbus, OH 43210 USA; British Antarctic Survey, Cambridge CB3 0ET, England</t>
  </si>
  <si>
    <t>University System of Ohio; Ohio State University; University System of Ohio; Ohio State University; University System of Ohio; Ohio State University; UK Research &amp; Innovation (UKRI); Natural Environment Research Council (NERC); NERC British Antarctic Survey</t>
  </si>
  <si>
    <t>Hines, KM (corresponding author), Ohio State Univ, Byrd Polar Res Ctr, Polar Meteorol Grp, 1090 Carmack Rd, Columbus, OH 43210 USA.</t>
  </si>
  <si>
    <t>Bromwich, David H/C-9225-2016</t>
  </si>
  <si>
    <t>10.1175/1520-0442(2000)013&lt;3940:ASPTIT&gt;2.0.CO;2</t>
  </si>
  <si>
    <t>375ZK</t>
  </si>
  <si>
    <t>WOS:000165433200003</t>
  </si>
  <si>
    <t>Dierssen, HM; Smith, RC</t>
  </si>
  <si>
    <t>Bio-optical properties and remote sensing ocean color algorithms for Antarctic Peninsula waters</t>
  </si>
  <si>
    <t>DIFFUSE-REFLECTANCE; ICE-ZONE; PHYTOPLANKTON; BACTERIOPLANKTON; PHOTOSYNTHESIS; VARIABILITY; SCATTERING; BACTERIA; BIOMASS; LIGHT</t>
  </si>
  <si>
    <t>Increasing evidence suggests that bio-optical properties of Antarctic waters are significantly different than those at temperate latitudes. Consequently, retrieval of chlorophyll concentrations from remotely sensed reflectance measurements using standard ocean color algorithms are likely to be inaccurate when applied to the Southern Ocean. Here we utilize a large bio-optical data set (&gt;1000 stations) collected in waters west of the Antarctic Peninsula in conjunction with the Palmer Long Term Ecological Research program to assess ocean optical properties and associated ocean color algorithms. We find that the remote sensing reflectance spectrum as a function of chlorophyll concentrations appears significantly different from the Sea-viewing Wide Field-of-view Sensor (SeaWiFS) Bio-optical Algorithm Mini-workshop data set collected from other regions of the world's oceans. For Antarctic waters, remote sensing reflectance is significantly higher in the blue region and lower in the green region of the spectrum for high chlorophyll concentrations (&gt;1 mg Chi m(-3)). Therefore applying general processing algorithms for both Coastal Zone Color Scanner and SeaWiFS in these Antarctic waters results in an underestimate of chlorophyll by roughly a factor of 2. From modeled estimates of absorption and backscattering we hypothesize that both low chlorophyll-specific absorption and low backscattering contribute to the high reflectance ratios.</t>
  </si>
  <si>
    <t>Univ Calif Santa Barbara, Dept Geog, Inst Computat Earth Syst Sci, Santa Barbara, CA 93106 USA</t>
  </si>
  <si>
    <t>University of California System; University of California Santa Barbara</t>
  </si>
  <si>
    <t>Univ Calif Santa Barbara, Dept Geog, Inst Computat Earth Syst Sci, Santa Barbara, CA 93106 USA.</t>
  </si>
  <si>
    <t>dierssen@icess.ucsb.edu</t>
  </si>
  <si>
    <t>C11</t>
  </si>
  <si>
    <t>10.1029/1999JC000296</t>
  </si>
  <si>
    <t>374NU</t>
  </si>
  <si>
    <t>WOS:000165351900017</t>
  </si>
  <si>
    <t>Maksym, T; Jeffries, MO</t>
  </si>
  <si>
    <t>A one-dimensional percolation model of flooding and snow ice formation on Antarctic sea ice</t>
  </si>
  <si>
    <t>THICKNESS DISTRIBUTION; WEDDELL-SEA; BRINE DRAINAGE; AMUNDSEN SEAS; HEAT-FLUX; PACK ICE; WINTER; COVER; BELLINGSHAUSEN; CONVECTION</t>
  </si>
  <si>
    <t>A one-dimensional thermodynamic sea ice growth model is developed with emphasis on seawater flooding and snow ice formation on Antarctic sea ice. To examine the possibility that flooding is the result of brine percolation through a porous ice matrix, and the consequences of this percolation on the salinity structure and mass balance of the ice, flooding is modeled in a semiheuristic fashion by examining two possible regimes for seawater and brine infiltration through the porous ice into the snowpack. A standard model assumes that the upward flow of brine is horizontally homogeneous and brine flow is modeled using a Darcian scheme. A simple model assumes that the infiltrating brine does not interact with the internal ice brine network, but instead percolates upward through cracks, or is restricted in spatial extent. Results of simulations are shown for the climatology in the Ross Sea and compared to field data from one autumn and one winter cruise aboard the R/V Nathaniel B. Palmer in 1995. Sensitivity studies are performed to show the effects of variations in climate forcing. The dependence of brine percolation and snow ice formation on key thermophysical parameters is investigated. Results indicate that the mass balance depends very strongly on the brine flow regime. In the standard model, ice salinities and brine volumes are greatly affected by brine percolation, creating a strong feedback between flooding and future snow ice production. Snow ice formation for the simple model was much more predictable and depended primarily on snow load. Comparison of results with field data indicate that if brine percolation is the major mechanism for flooding and snow ice formation, then there must be either substantial convective redistribution of salt to maintain ice porosity, or the flow must be spatially inhomogeneous.</t>
  </si>
  <si>
    <t>Univ Alaska Fairbanks, Inst Geophys, Fairbanks, AK 99775 USA</t>
  </si>
  <si>
    <t>Univ Alaska Fairbanks, Inst Geophys, 93 Koyukuk Dr,Box 757320, Fairbanks, AK 99775 USA.</t>
  </si>
  <si>
    <t>maksym@arsc.edu</t>
  </si>
  <si>
    <t>10.1029/2000JC900130</t>
  </si>
  <si>
    <t>WOS:000165351900018</t>
  </si>
  <si>
    <t>Harris, PT</t>
  </si>
  <si>
    <t>Ripple cross-laminated sediments on the East Antarctic Shelf: evidence for episodic bottom water production during the Holocene?</t>
  </si>
  <si>
    <t>Antarctica; palaeoceanography; cross-bedding; biosiliceous sediments</t>
  </si>
  <si>
    <t>MAC. ROBERTSON SHELF; ROSS SEA; MARINE-SEDIMENTS; CONTINENTAL-SHELF; SOUTHERN-OCEAN; WEDDELL SEA; PRYDZ BAY; RECORD; DEEP; LAND</t>
  </si>
  <si>
    <t>Biosiliceous sediments sampled from a submarine valley system on the continental shelf of East Antarctica contain intervals of ripple cross-lamination interspersed with massively bedded units. Based on radiocarbon dates from one core collected on the Mac.Robertson Shelf, the most intensely cross-laminated sediments were deposited between 6 and 3.5 kyr BP, with isolated cross-laminae deposited at other times in the Holocene. The cross-laminated sediments are interpreted here as a signal of episodic density currents flowing across the outer shelf, which result from the formation of high salinity shelf water (HSSW). This HSSW is formed in winter by brine rejection during sea ice formation and by the exchange and cooling of upwelled saline slope water, and it contributes to the bottom water produced along the continental margin of Antarctica. if this interpretation of the cross-laminae is correct, then bottom water formation and export from the East Antarctic shelf has exhibited temporal, and probably also spatial, variability throughout the Holocene. Such variability would have implications for oceanographers attempting to quantify Antarctic bottom water production rates based only on present day observations. Crown Copyright (C) 2000 Published by Elsevier Science B.V. All rights reserved.</t>
  </si>
  <si>
    <t>Antartic CRC, Hobart, Tas 7001, Australia; Australian Geol Survey Org, Hobart, Tas 7001, Australia</t>
  </si>
  <si>
    <t>Geoscience Australia</t>
  </si>
  <si>
    <t>Harris, PT (corresponding author), Antartic CRC, GPO Box 252-80, Hobart, Tas 7001, Australia.</t>
  </si>
  <si>
    <t>Harris, Peter/AAI-7100-2020; Harris, Peter T/C-6997-2009</t>
  </si>
  <si>
    <t>10.1016/S0025-3227(00)00096-7</t>
  </si>
  <si>
    <t>380XE</t>
  </si>
  <si>
    <t>WOS:000165728500005</t>
  </si>
  <si>
    <t>Moon, B; Park, YC; McClintock, JB; Baker, BJ</t>
  </si>
  <si>
    <t>Structure and bioactivity of erebusinone, a pigment from the Antarctic sponge Isodictya erinacea</t>
  </si>
  <si>
    <t>TETRAHEDRON</t>
  </si>
  <si>
    <t>marine natural products; Antarctic chemical ecology; sponge; alkaloid; pigment; chemical defense</t>
  </si>
  <si>
    <t>CHEMICAL ECOLOGY</t>
  </si>
  <si>
    <t>We have investigated the Antarctic sponge Isodictya erinacea as part of our ongoing study of Antarctic chemical ecology. I. erinacea was found to produce a tryptophan catabolite as its yellow pigment. The pigment, erebusinone, causes significantly reduced molting and proportionally increased mortality at ecologically relevant concentrations when fed to sympatric predatory amphipods. This appears to be the first example of molt inhibition as a mechanism of chemical defense. (C) 2000 Elsevier Science Ltd. All rights reserved.</t>
  </si>
  <si>
    <t>Florida Inst Technol, Dept Chem, Melbourne, FL 32901 USA; Univ Alabama, Dept Biol, Birmingham, AL 35294 USA</t>
  </si>
  <si>
    <t>Florida Institute of Technology; University of Alabama System; University of Alabama Birmingham</t>
  </si>
  <si>
    <t>Baker, BJ (corresponding author), Florida Inst Technol, Dept Chem, Melbourne, FL 32901 USA.</t>
  </si>
  <si>
    <t>0040-4020</t>
  </si>
  <si>
    <t>Tetrahedron</t>
  </si>
  <si>
    <t>NOV 10</t>
  </si>
  <si>
    <t>10.1016/S0040-4020(00)00760-2</t>
  </si>
  <si>
    <t>Chemistry, Organic</t>
  </si>
  <si>
    <t>Science Citation Index Expanded (SCI-EXPANDED); Index Chemicus (IC)</t>
  </si>
  <si>
    <t>371YW</t>
  </si>
  <si>
    <t>WOS:000165207700011</t>
  </si>
  <si>
    <t>Foyo-Moreno, I; Vida, J; Olmo, FJ; Alados-Arboledas, L</t>
  </si>
  <si>
    <t>Estimating solar ultraviolet irradiance (290-385 nm) by means of the spectral parametric models: SPCTRAL2 and SMARTS2</t>
  </si>
  <si>
    <t>ANNALES GEOPHYSICAE-ATMOSPHERES HYDROSPHERES AND SPACE SCIENCES</t>
  </si>
  <si>
    <t>atmospheric composition and structure; transmission and scattering of radiation; meteorology and atmospheric dynamics; radiative process</t>
  </si>
  <si>
    <t>DIFFUSE IRRADIANCE; TOTAL OZONE; RADIATION; SPAIN</t>
  </si>
  <si>
    <t>Since the discovery of the ozone depletion in Antarctic and the globally declining trend of stratospheric ozone concentration, public and scientific concern has been raised in the last decades. A very important consequence of this fact is the increased broadband and spectral UV radiation in the environment and the biological effects and heath risks that may lake place in the near future. The absence of widespread measurements of this radiometric flux has lead to the development and use of alternative estimation procedures such as the parametric approaches. Parametric models compute the radiant energy using available atmospheric parameters. Some parametric models compute the global solar irradiance at surface level by addition of its direct beam and diffuse components. In the present work. we have developed a comparison between two cloudless sky parametrization schemes. Both methods provide an estimation of the solar spectral irradiance that can be integrated spectrally within the limits of interest. For this test we have used data recorded in a radiometric station located at Granada (37.180 degreesN, 3.580 degreesW, 660 m a.m.s.l.), an inland location. The database includes hourly values of the relevant variables covering the years 1994-95. The performance of the models has been tested in relation to their predictive capability of global solar irradiance in the UV range (290-385 nm). After our study, it appears that information concerning the aerosol radiative effects is fundamental in order to obtain a good estimation. The original version of SPCTRAL2 provides estimates of the experimental values with negligible mean bias deviation. This suggests not only the appropriateness of the model but also the convenience of the aerosol features fixed in it to Granada conditions. SMARTS2 model offers increased flexibility concerning the selection of different aerosol models included in the code and provides the best results when the selected models are those considered as urban. Although SMARTS' provide slightly worse results, both models give estimates of solar ultraviolet irradiance with mean bias deviation below 5%, and root mean square deviation close to experimental errors.</t>
  </si>
  <si>
    <t>Univ Granada, Fac Ciencias, Dept Fis Aplicada, E-18071 Granada, Spain</t>
  </si>
  <si>
    <t>University of Granada</t>
  </si>
  <si>
    <t>Univ Granada, Fac Ciencias, Dept Fis Aplicada, E-18071 Granada, Spain.</t>
  </si>
  <si>
    <t>alados@ugr.es</t>
  </si>
  <si>
    <t>Moreno, Inmaculada Foyo/G-2203-2017; Manzano, Jeronimo Vida/E-1035-2012; Olmo Reyes, Francisco José/F-7621-2016; Alados-Arboledas, Lucas/P-5630-2014</t>
  </si>
  <si>
    <t>Manzano, Jeronimo Vida/0000-0002-6830-6511; Olmo Reyes, Francisco José/0000-0002-0186-1721; Alados-Arboledas, Lucas/0000-0003-3576-7167; Foyo Moreno, Inmaculada/0000-0003-4651-9089</t>
  </si>
  <si>
    <t>0992-7689</t>
  </si>
  <si>
    <t>ANN GEOPHYS-ATM HYDR</t>
  </si>
  <si>
    <t>Ann. Geophys.-Atmos. Hydrospheres Space Sci.</t>
  </si>
  <si>
    <t>NOV</t>
  </si>
  <si>
    <t>10.1007/s00585-000-1382-2</t>
  </si>
  <si>
    <t>Astronomy &amp; Astrophysics; Geosciences, Multidisciplinary; Meteorology &amp; Atmospheric Sciences</t>
  </si>
  <si>
    <t>Astronomy &amp; Astrophysics; Geology; Meteorology &amp; Atmospheric Sciences</t>
  </si>
  <si>
    <t>375YP</t>
  </si>
  <si>
    <t>Green Submitted, gold</t>
  </si>
  <si>
    <t>WOS:000165431300002</t>
  </si>
  <si>
    <t>Villante, U; Vellante, M; De Sanctis, G</t>
  </si>
  <si>
    <t>An analysis of Pc3 and Pc4 pulsations at Terra Nova Bay (Antarctica)</t>
  </si>
  <si>
    <t>magnetospheric physics; magnetopause, cusp, and boundary layers</t>
  </si>
  <si>
    <t>GEOMAGNETIC-FIELD FLUCTUATIONS; SOLAR-WIND VELOCITY; CUSP LATITUDES; MAGNETIC PULSATIONS; SOUTH-POLE; POWER; MICROPULSATIONS; DEPENDENCE; COHERENCE</t>
  </si>
  <si>
    <t>We conducted a statistical analysis of the physical characteristics of the micropulsation activity (Pc3 and Pc4 range) detected, during the austral summer 1994-95. at Terra Nova Bay (Antarctica, corrected latitude 80.0 degreesS), a station which is few degrees poleward of those where most of the Antarctic measurements in these frequency ranges have been performed. The emerging overview suggests that the correspondence between the pulsation power and the external parameters (solar wind speed. interplanetary magnetic field magnitude and orientation) is significantly stronger than at somewhat lower latitudes. The day-to-day power variability was found to be strictly related to the general level of the geomagnetic activity, and the Fewer level sharply maximizes at local magnetic noon. In the Pc4 range peaks of correlation with the SW speed are found in the dawn and dusk sides of the Earth's magnetosphere and the daily variation of the polarization pattern is closely consistent with that found at auroral latitudes and at lower frequencies. In the Pc3 range the con elation coefficient between the pulsation power and the SW speed has maximum values in the local morning, and the frequency of selected events reveals a strong IMF control during closed magnetospheric conditions. The local lime dependence of the correlation coefficient between the pulsation power and the cone angle reveals an additional control by the IMF orientation, which becomes more explicit around local noon.</t>
  </si>
  <si>
    <t>Univ Aquila, Dipartimento Fis, I-67100 Laquila, Italy; Area Astrogeofis, I-67100 Laquila, Italy</t>
  </si>
  <si>
    <t>University of L'Aquila</t>
  </si>
  <si>
    <t>Villante, U (corresponding author), Univ Aquila, Dipartimento Fis, I-67100 Laquila, Italy.</t>
  </si>
  <si>
    <t>VELLANTE, Massimo/0000-0003-4628-366X; Villante, Umberto/0000-0002-3630-7958</t>
  </si>
  <si>
    <t>10.1007/s00585-000-1412-0</t>
  </si>
  <si>
    <t>WOS:000165431300005</t>
  </si>
  <si>
    <t>Boyce, RL</t>
  </si>
  <si>
    <t>Life at the cold limit: Plant processes at near- and below-freezing temperatures - An Ecological Society of America Symposium</t>
  </si>
  <si>
    <t>ARCTIC ANTARCTIC AND ALPINE RESEARCH</t>
  </si>
  <si>
    <t>Univ Denver, Dept Biol Sci, Denver, CO 80208 USA</t>
  </si>
  <si>
    <t>University of Denver</t>
  </si>
  <si>
    <t>Boyce, RL (corresponding author), Univ Denver, Dept Biol Sci, Denver, CO 80208 USA.</t>
  </si>
  <si>
    <t>INST ARCTIC ALPINE RES</t>
  </si>
  <si>
    <t>UNIV COLORADO, BOULDER, CO 80309 USA</t>
  </si>
  <si>
    <t>1523-0430</t>
  </si>
  <si>
    <t>ARCT ANTARCT ALP RES</t>
  </si>
  <si>
    <t>Arct. Antarct. Alp. Res.</t>
  </si>
  <si>
    <t>10.1080/15230430.2000.12003378</t>
  </si>
  <si>
    <t>Environmental Sciences; Geography, Physical</t>
  </si>
  <si>
    <t>383YK</t>
  </si>
  <si>
    <t>WOS:000165912100001</t>
  </si>
  <si>
    <t>Hadley, JL</t>
  </si>
  <si>
    <t>Effect of daily minimum temperature on photosynthesis in eastern hemlock (Tsuga canadensis L.) in autumn and winter</t>
  </si>
  <si>
    <t>Annual Meeting of the Ecological-Society-of-America</t>
  </si>
  <si>
    <t>AUG 10, 1999</t>
  </si>
  <si>
    <t>SPOKANE, WASHINGTON</t>
  </si>
  <si>
    <t>RED SPRUCE; VEGETATION DYNAMICS; NEW-ENGLAND; HISTORY; AIR</t>
  </si>
  <si>
    <t>Most coniferous trees are capable of photosynthesis throughout the year, but low temperatures and frozen soil limit winter photosynthesis in many regions. In eastern hemlock (Tsuga canadensis L.) in central Massachusetts, U.S.A., midday light saturated photosynthesis (P-max) in autumn was Limited by subfreezing temperatures during the previous one to two nights. In autumn, minimum air temperature (T-min) during the previous 24 h had a strong effect on midday P-max only if T-min was below -2 degreesC. P-max averaged about 5 mu mol m(-2) s(-1) after T-min near -2 degreesC, but fell to about 1 mu mol m(-2) s(-1) after a T-min of -8 degreesC. Maximum measured P-max in winter was about 2.5 mu mol m(-2) s(-1) after a T-min of 7 degreesC in mid-March, and P-max in winter was more strongly related to average T-min during the previous week than to the T-min just prior to measurement. However, no major mid-winter thaws, with several successive above-freezing minimum temperatures, occurred during this study. A model of annual carbon exchange for the hemlock forest showed that daily ecosystem carbon exchange in December through March was very sensitive to variation between -5 and 2 degreesC in average daily T-min during the past 2 d. Fewer autumn frosts and prolonged winter thaws could increase annual photosynthesis and carbon storage in eastern hemlock forests in the northeastern United States.</t>
  </si>
  <si>
    <t>Harvard Univ, Harvard Forest, Petersham, MA 01366 USA</t>
  </si>
  <si>
    <t>Harvard University</t>
  </si>
  <si>
    <t>Hadley, JL (corresponding author), Harvard Univ, Harvard Forest, POB 68, Petersham, MA 01366 USA.</t>
  </si>
  <si>
    <t>10.2307/1552384</t>
  </si>
  <si>
    <t>WOS:000165912100002</t>
  </si>
  <si>
    <t>Schaberg, PG</t>
  </si>
  <si>
    <t>Winter photosynthesis in red spruce (Picea rubens Sarg.):: Limitations, potential benefits, and risks</t>
  </si>
  <si>
    <t>SPOKANE, WA</t>
  </si>
  <si>
    <t>ELECTRON-TRANSPORT; CARBOXYLASE ACTIVITY; WATER RELATIONS; SINK REGULATION; SEEDLINGS; SOIL; EVERGREEN; CAPACITY; STRESS; INJURY</t>
  </si>
  <si>
    <t>Numerous cold-induced changes in physiology limit the capacity of northern conifers to photosynthesize during winter. Studies of red spruce (Picea rubens Sarg.) have shown that rates of field photosynthesis (P-field) and laboratory measurements of photosynthetic capacity (P-max) generally parallel seasonal ambient temperature trends; carbon exchange decreases in the fall, remains negative or close to zero for much of the winter, and increases in the spring. However, increases in P-field, P-max, and foliar carbohydrate concentrations can occur during winter thaws. Thaw-induced increases in photosynthesis are probably not the result of increased stomatal conductance, but may result from other changes in physiology associated with thaw-induced improvements in water relations. In addition to increased photosynthesis, red spruce also decrease in cold hardiness during thaws. The cooccurrence of thaw-induced changes in photosynthesis and cold hardiness raises questions regarding their adaptive significance, particularly in the context of potential climate change. Red spruce may face a tradeoff between potentially beneficial increases in carbon capture and potentially detrimental reductions in cold tolerance. The physiological consequence(s) of this tradeoff may depend on the number and duration of thaws, as well as ambient temperature trends following thaw. Pollution-induced reductions in cold tolerance, and the low genetic variability of red spruce, may also influence the net outcome of thaw-induced changes in physiology.</t>
  </si>
  <si>
    <t>US Forest Serv, USDA, NE Res Stn, Burlington, VT 05401 USA</t>
  </si>
  <si>
    <t>United States Department of Agriculture (USDA); United States Forest Service</t>
  </si>
  <si>
    <t>US Forest Serv, USDA, NE Res Stn, Burlington, VT 05401 USA.</t>
  </si>
  <si>
    <t>Pschaberg@fs.fed.us</t>
  </si>
  <si>
    <t>1938-4246</t>
  </si>
  <si>
    <t>10.2307/1552385</t>
  </si>
  <si>
    <t>WOS:000165912100003</t>
  </si>
  <si>
    <t>Cordell, S; Goldstein, G; Melcher, PJ; Meinzer, FC</t>
  </si>
  <si>
    <t>Photosynthesis and freezing avoidance in Ohia (Metrosideros polymorpha) at treeline in Hawaii</t>
  </si>
  <si>
    <t>ALTITUDINAL GRADIENT; WATER-BALANCE; MAUNA-LOA; TOLERANCE; LEAVES; TEMPERATURES; PLANTS; CAPACITY; NITROGEN; CARBON</t>
  </si>
  <si>
    <t>Metrosideros polymorpha (Ohia), the dominant tree species in Hawaiian forest ecosystems, grows from sea level to treeline (2500 m). Carboxylation efficiency and area-based leaf N content were substantially higher at treeline than at lower elevations while leaf size and instantaneous photosynthetic nitrogen-use efficiency (PNUE) were substantially lower at treeline. For example, PNUE decreased from 45 mu mol CO2 mol N-1 at low elevation to 17.4 mu mol CO2 mol N-1 at high elevation. In contrast, average net CO2 assimilation and integrated PNUE remained relatively constant along the elevation gradient despite suboptimal temperatures and decreased soil nitrogen availability at treeline. These and other homeostatic mechanisms allow M. polymorpha to maintain a relatively high level of growth-related activities at treeline despite frequent near- and below-freezing temperatures. High-elevation populations avoided freezing by supercooling apparently as a result of small leaves, reduced intercellular spaces, and low apoplastic water content in leaves. Ice nucleation temperatures were about -8.5 degreesC for leaves of treeline populations, 3 degreesC lower than those of low elevation populations. Irreversible tissue damage temperature decreased 7 degreesC from sea level to treeline. However, the decrease appeared to be only large enough to allow M. polymorpha trees to avoid leaf tissue damage due to freezing up to the current location of treeline. All of the above leaf traits in high-elevation populations serve to promote carbon gain in a nutrient and temperature limited environment as well as to avoid freezing by supercooling.</t>
  </si>
  <si>
    <t>Univ Hawaii, Dept Bot, Honolulu, HI 96822 USA; Hawaii Agr Res Ctr, Aiea, HI 96701 USA</t>
  </si>
  <si>
    <t>University of Hawaii System</t>
  </si>
  <si>
    <t>US Forest Serv, USDA, 23 E Kawili St, Hilo, HI 96720 USA.</t>
  </si>
  <si>
    <t>cordell@hawaii.edu</t>
  </si>
  <si>
    <t>Meinzer, Frederick/N-8373-2019; Meinzer, Frederick C/C-3496-2012; Melcher, Peter/S-4579-2017</t>
  </si>
  <si>
    <t>Meinzer, Frederick/0000-0003-2387-2031; Melcher, Peter/0000-0002-6778-5792</t>
  </si>
  <si>
    <t>10.2307/1552386</t>
  </si>
  <si>
    <t>WOS:000165912100004</t>
  </si>
  <si>
    <t>Germino, MJ; Smith, WK</t>
  </si>
  <si>
    <t>Differences in microsite, plant form, and low-temperature photoinhibition in alpine plants</t>
  </si>
  <si>
    <t>GUM EUCALYPTUS-PAUCIFLORA; HIGH-MOUNTAIN PLANTS; CHLOROPHYLL FLUORESCENCE; PHOTOSYSTEM-II; XANTHOPHYLL CYCLE; SKY EXPOSURE; ELEVATED CO2; PHOTOSYNTHESIS; WINTER; GROWTH</t>
  </si>
  <si>
    <t>Low temperatures and high sunlight, factors that are characteristic of high elevations, may lead to the low-temperature photoinhibition of photosynthesis (LTP). Exposure and photosynthetic responses to low temperature and high sunlight were compared among current-year seedlings of the conifers Abies lasiocarpa and Picea engelmannii, and the snowbank perennials Caltha leptosepala and Erythronium grandiflorum, in the alpine treeline ecotone. The ratio of silhouette (sunlit) to total leaf area of whole plants was greatest in A. lasiocarpa (0.33), 25% lower in P. engelmannii (0.25), and at least 36% lower in the snowbank perennials than for A. lasiocarpa. This indicated less structural avoidance of high sunlight in the conifer seedlings, particularly A. lasiocarpa. CO2 assimilation (A(sat)) in A. lasiocarpa was reduced 40% due to frosts, high sunlight (22%), and their combination (90%). A(sat) was much less affected by frosts and high sunlight in P. engelmannii and especially the perennials. Following frost and high sunlight exposure, diurnal reductions in maximum photosynthetic efficiency, indicated by the chlorophyll fluorescence ratio F-v/F-m, corresponded to species differences in A(sat). A substantially greater degree of slowly-reversible, or irreversible LTP (44% reduction in predawn F-v/F-m) occurred in the microclimate above snow for A. lasiocarpa compared to the other species. It appears that a higher resistance to LTP in the perennials may contribute to their greater occurrence in microsites with lower temperatures and higher sunlight compared to the conifer seedlings.</t>
  </si>
  <si>
    <t>Wake Forest Univ, Dept Biol, Winston Salem, NC 27109 USA</t>
  </si>
  <si>
    <t>Wake Forest University</t>
  </si>
  <si>
    <t>Germino, MJ (corresponding author), Montana State Univ, Thermal Biol Inst, Bozeman, MT 59717 USA.</t>
  </si>
  <si>
    <t>Germino, Matthew J./F-6080-2013</t>
  </si>
  <si>
    <t>Germino, Matthew J./0000-0001-6326-7579</t>
  </si>
  <si>
    <t>10.2307/1552387</t>
  </si>
  <si>
    <t>WOS:000165912100005</t>
  </si>
  <si>
    <t>Sparks, JP; Black, RA</t>
  </si>
  <si>
    <t>Winter hydraulic conductivity end xylem cavitation in coniferous trees from upper and lower treeline</t>
  </si>
  <si>
    <t>WATER-STRESS; EMBOLISM; VULNERABILITY; POPULATIONS; EFFICIENCY; PLANTS; WOODY; WIND</t>
  </si>
  <si>
    <t>Current hypotheses suggest xylem conduits of conifers cavitate as a result of low xylem water potentials during the growing season and as the combined result of low xylem water potentials and repeated freezing and thawing of the xylem during the winter. To investigate variation in resistance to xylem cavitation among evergreen and deciduous coniferous trees from different environments, we analyzed conifers from upper and lower treeline. Species from lower treeline (Larix occidentalis and Pinus contorta) exhibited higher resistances to xylem cavitation compared to species from upper treeline (Larix lyallii and Pinus albicaulis). At lower treeline, the deciduous conifer Larix occidentalis was more resistant to xylem cavitation than the evergreen Pinus contorta. None of the four species experienced losses in stem hydraulic conductivity greater than 5% during the growing season. During the winter, lower treeline species experienced between 8 and 15% loss in xylem conductivity compared to greater than 30% for upper treeline species. At upper treeline, losses in stem hydraulic conductivity were correlated with freeze-thaw events, mid-winter warming periods and decreased stem water contents. Wintertime xylem cavitation in the upper treeline environment was related to freezing and thawing events and the total time the xylem was above freezing.</t>
  </si>
  <si>
    <t>Washington State Univ, Dept Bot, Pullman, WA 99164 USA</t>
  </si>
  <si>
    <t>Washington State University</t>
  </si>
  <si>
    <t>Sparks, JP (corresponding author), Univ Colorado, Boulder, CO 80309 USA.</t>
  </si>
  <si>
    <t>10.2307/1552388</t>
  </si>
  <si>
    <t>WOS:000165912100006</t>
  </si>
  <si>
    <t>Bilbrough, CJ; Welker, JM; Bowman, WD</t>
  </si>
  <si>
    <t>Early spring nitrogen uptake by snow-covered plants: A comparison of arctic and alpine plant function under the snowpack</t>
  </si>
  <si>
    <t>ALASKAN TUNDRA; ERIOPHORUM-VAGINATUM; GROWTH FORMS; FRONT RANGE; NIWOT RIDGE; CO2 EFFLUX; LONG-TERM; NUTRIENT; CARBON; ECOSYSTEM</t>
  </si>
  <si>
    <t>We compared nitrogen (N) acquisition by alpine and arctic tundra plants during snowmelt, and assessed its significance relative to season-long N demand. We then related plant responses in alpine and arctic tundra to soil and air temperature.. parallel experiments were conducted in an alpine moist meadow at Niwot Ridge, Colorado, and in arctic dry heath and moist tussock tundra near Toolik Lake Alaska. We added 99%-enriched (NH4NO3)-N-15-N-15 (0.5 g N m(-2)) to the snowpack, and traced the fate of the N-15 into plants and soil by harvesting samples before snowmelt ended. All alpine and arctic plants acquired N during snowmelt. However, alpine plants acquired 100 times more N than arctic plants. Using data from published studies, we estimated season-long N demand for the vascular plant species. In the: alpine tundra, N uptake during snowmelt constituted over 12% of season-long uptake for a graminoid species, and averaged 7.4% for perennial forbs. In contrast, N uptake during snowmelt by arctic plants averaged less than 0.1% of season-long N uptake. Soil temperatures were similar in these systems during snowmelt, averaging -0.4 degreesC in the arctic and -0.5 degreesC in the alpine tundra. However, arctic plants experienced lower winter soil temperatures, than alpine plants. Winter soil surface temperatures averaged -7.75 degreesC in arctic and -2.43 degreesC in alpine tundra systems, and the lowest weekly mean temperature was -14.5 degreesC in the arctic and -6.14 degreesC in the alpine systems. Thus, differences in plant N uptake are likely due to winter conditions, rather than conditions that occurred during uptake. In conclusion, plant acquisition of N resources during snow-melt is important in alpine systems.</t>
  </si>
  <si>
    <t>Univ Wyoming, Dept Renewable Resources, Laramie, WY 82071 USA; Univ Colorado, Dept EPO Biol, Boulder, CO 80309 USA; Univ Colorado, Inst Arctic &amp; Alpine Res, Mt Res Stn, Boulder, CO 80309 USA</t>
  </si>
  <si>
    <t>University of Wyoming; University of Colorado System; University of Colorado Boulder; University of Colorado System; University of Colorado Boulder</t>
  </si>
  <si>
    <t>Bilbrough, CJ (corresponding author), Univ Wyoming, Dept Renewable Resources, Laramie, WY 82071 USA.</t>
  </si>
  <si>
    <t>Welker, Jeffrey M/C-9493-2013</t>
  </si>
  <si>
    <t>10.2307/1552389</t>
  </si>
  <si>
    <t>WOS:000165912100007</t>
  </si>
  <si>
    <t>Murray, MP; Bunting, SC; Morgan, P</t>
  </si>
  <si>
    <t>Landscape trends (1753-1993) of whitebark pine (Pinus albicaulis) forests in the west big hole range of Idaho/Montana, USA</t>
  </si>
  <si>
    <t>FIRE HISTORY; MONTANA</t>
  </si>
  <si>
    <t>Pinus albicaulis (whitebark pine) is an important tree species in subalpine forests. of the Northern Rocky Mountains. Populations have been declining at unprecedented rates due to the introduction of an exotic pathogen and fire suppression. We initiated this study to evaluate historical trends in Pinus albicaulis abundance along with associated subalpine conifers within a small biogeographically disjunct mountain range. The central objective was to estimate historic trends in subalpine forest: composition and structure at the species and community scales. Reconstruction of forest stands reveals an 85% increase in tree volume among all species since the 1870s. Pinus albicaulis has historically dominated most stands associated with Abies bifolia (subalpine fir) and Picea engelmannii (Engelmann spruce) but dominance has shifted to these late-seral species for most of the study area since the early 1900s. We estimate, that since 1753, nearly 50% of the study area has shifted to later successional stages while only 3% has receded to earlier stages. We discuss the implications for Pinus albicaulis and suggest that careful reintroduction of fire can aid in the maintenance of ecological integrity at the community and landscape scales.</t>
  </si>
  <si>
    <t>Univ Idaho, Coll Forestry Wildlife &amp; Range Sci, Moscow, ID 83843 USA</t>
  </si>
  <si>
    <t>Idaho; University of Idaho</t>
  </si>
  <si>
    <t>Murray, MP (corresponding author), Oregon Nat Heritage Program, 821 SE 14th Ave, Portland, OR 97214 USA.</t>
  </si>
  <si>
    <t>mmurray@tnc.org</t>
  </si>
  <si>
    <t>10.2307/1552390</t>
  </si>
  <si>
    <t>WOS:000165912100008</t>
  </si>
  <si>
    <t>Kullman, L; Kjällgren, L</t>
  </si>
  <si>
    <t>A coherent postglacial tree-limit chronology (Pinus sylvestris L.) for the Swedish scandes:: Aspects of paleoclimate and recent warming based on megafossil evidence</t>
  </si>
  <si>
    <t>ICE-CORE RECORD; EARLY HOLOCENE; CLIMATE-CHANGE; CENTRAL-SWEDEN; NORTHERN-HEMISPHERE; JULY TEMPERATURES; AIR-TEMPERATURE; YOUNGER DRYAS; PAST CLIMATE; RANGE LIMITS</t>
  </si>
  <si>
    <t>A coherent elevational tree-limit chronology, based on megafossil wood of Pinus sylvestris L. (Scots pine), is presented for the entire Holocene period in the Swedish Scandes. The chronology is argued, on the basis of a close modern tree-limit/climate relationship, to describe quite sensitively the secular-millennial course of summer temperature variations. Pinus had immigrated to the Scandes by about 11,700 BP (ca. 13,800 cal BP), which is much earlier than previously believed. The highest pine limit position, relative to the present day, was attained about 9400 BP (ca. 10,700 cal BP). Subsequently, it has descended gradually by ca. 500 m up to the present. This permanent state of unidirectional flux compares well with the Milankovitch model of orbital climate forcing, prescribing an early-Holocene thermal optimum, successively turning into a stage with cooler summers. Prior to ca. 8000 BP the rate of tree-limit recession was higher than later on, which is explained by additional cooling originating from particularly large glacioisostatic land uplift before this break point. Apart from the smooth longterm thermal decline and a few minor excursions (brief warmings and coolings), the Holocene climate appears to have been fairly stable. There are no indications of millennial-scale and large-amplitude climatic cycles. The virtually unbroken postglacial cooling, consistent with the predictive mechanism of orbital forcing, makes us hypothesize that this trend could be projected into the future, given that only natural climate mechanisms were operative. In such a perspective, the warm 20th century (and its high pine limit) stands out as an anomaly. Possibly, it signals some anthropogenic climate forcing, although contributory natural mechanisms cannot be precluded. The earliest megafossil dates originate from high mountain peaks during a period when traditional glacial models envisage that the Scandes and large areas to the east, south, and north were still covered by the extensive and entirely continuous Weichselian ice sheet. Thus, it appears that the biogeographic and deglaciation history of the Scandes is more complicated than previously understood.</t>
  </si>
  <si>
    <t>Umea Univ, Dept Ecol &amp; Environm Sci, S-90187 Umea, Sweden; Umea Univ, Dept Biol &amp; Environm Sci, S-90187 Umea, Sweden</t>
  </si>
  <si>
    <t>Umea University; Umea University</t>
  </si>
  <si>
    <t>Kullman, L (corresponding author), Umea Univ, Dept Ecol &amp; Environm Sci, S-90187 Umea, Sweden.</t>
  </si>
  <si>
    <t>10.2307/1552391</t>
  </si>
  <si>
    <t>WOS:000165912100009</t>
  </si>
  <si>
    <t>Porinchu, DF; Cwynar, LC</t>
  </si>
  <si>
    <t>The distribution of freshwater Chironomidae (Insecta: Diptera) across treeline near the lower Lena River, northeast Siberia, Russia</t>
  </si>
  <si>
    <t>QUANTITATIVE INDICATORS; LAKE TEMPERATURES; AIR TEMPERATURES; YOUNGER DRYAS; CLIMATE; MODEL; ASSEMBLAGES; VEGETATION; DIATOMS</t>
  </si>
  <si>
    <t>Surficial sediment from 31 lakes along a transect spanning treeline in northeast Siberia was analyzed for midge remains in order to assess the modern distribution of midges relative to treeline. Taxa distinct to tundra, forest-tundra, and forest areas were identified. Abiskomyia, Parakiefferiella nigra, and Hydrobaenus/Oliveridia were found predominantly in tundra lakes, whereas Zalutschia zalutschicola and Microtendipes were restricted to forest-tundra or forest lakes. A sharp delineation exists at the tundra/forest-tundra transition zone with respect to the genus Corynocera. Corynocera oliveri was found chiefly in tundra lakes whereas C. ambigua was found solely in forested areas. Thirty-two environmental variables describing the physical, chemical, and limnological characteristics of the lakes in the transect were measured. Redundancy analysis (RDA) revealed that statistically significant relationships exist between chironomid distributions and six of the measured environmental variables (particulate organic carbon, particulate organic nitrogen, iron, zinc, lake depth, and Secchi depth), but not surface lake-water temperature. Canonical variate analysis (CVA) demonstrated that chlorophyll a, lake depth, pH, and strontium maximized separation of tundra, forest-tundra, and forest lakes from one another. These results illustrate the importance of treeline as an ecological boundary for the distribution of chironomids. The abrupt changes in distribution that occur at treeline for specific chironomid taxa suggest that subfossil chironomid analysis may be used to infer past changes in the position of treeline.</t>
  </si>
  <si>
    <t>Univ Calif Los Angeles, Dept Geog, Los Angeles, CA 90095 USA; Univ New Brunswick, Dept Biol, Fredericton, NB E3B 6E1, Canada</t>
  </si>
  <si>
    <t>University of California System; University of California Los Angeles; University of New Brunswick</t>
  </si>
  <si>
    <t>Univ Calif Los Angeles, Dept Geog, Los Angeles, CA 90095 USA.</t>
  </si>
  <si>
    <t>porinchu@ucla.edu; cwynar@unb.ca</t>
  </si>
  <si>
    <t>Porinchu, DF/S-4360-2019; Cwynar, Les C/I-4214-2012</t>
  </si>
  <si>
    <t>Porinchu, David/0000-0002-0495-3082</t>
  </si>
  <si>
    <t>10.2307/1552392</t>
  </si>
  <si>
    <t>WOS:000165912100010</t>
  </si>
  <si>
    <t>Wyka, T; Galen, C</t>
  </si>
  <si>
    <t>Current and future costs of reproduction in Oxytropis sericea, a perennial plant from the Colorado Rocky Mountains, USA</t>
  </si>
  <si>
    <t>RESOURCE-ALLOCATION; ALPINE TUNDRA; DIPLACUS-AURANTIACUS; FIELD EXPERIMENT; SEED PRODUCTION; WATER RELATIONS; GROWTH; PATTERNS; POPULATIONS; ORCHIDACEAE</t>
  </si>
  <si>
    <t>We studied tradeoffs among current reproduction, vegetative growth, and resource storage, and the consequences of such tradeoffs for future growth and reproduction in an alpine tundra population of long-lived iteroparous herb, Oxytropis sericea from the Colorado Rocky Mountains. When plant reproductive effort was manipulated through the removal of inflorescence buds, branching and leaf production increased significantly in the year of treatment but the end-of-season nonstructural carbohydrate content in storage organs (taproots and branches) was not affected. In contrast, plants from which buds were removed, accumulated more nitrogen and phosphorus in their perennial branches (although not in taproots), compared to controls. Bud removal in 1996 and in 1997 led to greater vegetative growth in the following summer, with potential consequences far long term reproductive effort. Addition of mineral fertilizer to flowering individuals in 1996 stimulated some aspects of vegetative growth and reproduction in 1997 indicating that growth in these plants was nutrient-limited. Leaf photosynthetic rates were not affected by the removal of inflorescence buds, inflorescences or infructescences during 1996, but were significantly lower in plants prevented from fruiting in 1997, showing Limited evidence for photosynthetic compensation of reproductive effort. We suggest that mineral nutrients, rather than photosynthate, constitute the currency underlying the future costs of reproduction in O. sericea.</t>
  </si>
  <si>
    <t>Univ Missouri, Div Biol Sci, Columbia, MO 65211 USA</t>
  </si>
  <si>
    <t>University of Missouri System; University of Missouri Columbia</t>
  </si>
  <si>
    <t>Wyka, T (corresponding author), Adam Mickiewicz Univ, Gen Bot Lab, Al Niepodleglosci 14, PL-61713 Poznan, Poland.</t>
  </si>
  <si>
    <t>10.2307/1552393</t>
  </si>
  <si>
    <t>WOS:000165912100011</t>
  </si>
  <si>
    <t>Tolvanen, A; Henry, GHR</t>
  </si>
  <si>
    <t>Population structure of three dominant sedges under Muskox herbivory in the High Arctic</t>
  </si>
  <si>
    <t>SHOOT DEMOGRAPHY; SNOW GEESE; GROWTH; PLANTS; DYNAMICS; GRASS; VEGETATION; RESPONSES; DIET; REVEGETATION</t>
  </si>
  <si>
    <t>We investigated population structure of Carer aquatilis ssp. stans, Carer membranacea, and Eriophorum angustifolium ssp. triste in ungrazed and grazed (by muskoxen) high arctic sedge meadow vegetation. Age structure, density, biomass, growth, and reproduction of tillers were compared between sites in 1995 and 1996. Tillers were considerably older in ungrazed vegetation relative to grazed vegetation. The density and biomass of C. stans were significantly greater in grazed vegetation than in ungrazed vegetation, whereas the density of C. membranacea and E. triste was the same but the biomass was lower relative to the ungrazed meadows. The grazed plants of all species reproduced earlier, but no seedlings were found in grazed vegetation, in contrast to ungrazed vegetation. Carer stans appears to gain competitive advantage over the other two species in grazed vegetation. This may be due to the larger belowground biomass, the high phenotypic plasticity in rhizome lengths and more persistent rhizome connections. E. triste may be the least buffered against grazing due to its lower belowground biomass and the early disintegration of rhizomes. On the other hand, E. triste allocates more to sexual reproduction than the two other species.</t>
  </si>
  <si>
    <t>Univ British Columbia, Dept Geog, Vancouver, BC V6T 1Z2, Canada; Univ Oulu, Dept Biol, FIN-90014 Oulu, Finland</t>
  </si>
  <si>
    <t>University of British Columbia; University of Oulu</t>
  </si>
  <si>
    <t>Univ British Columbia, Dept Geog, 217-1984 W Mall, Vancouver, BC V6T 1Z2, Canada.</t>
  </si>
  <si>
    <t>Anne.Tolvanen@oulu.fi</t>
  </si>
  <si>
    <t>Tolvanen, Anne/AAY-3765-2020; Tolvanen, Anne/I-5873-2015; Tolvanen, Anne/AAP-8246-2020</t>
  </si>
  <si>
    <t>Tolvanen, Anne/0000-0002-5304-7510;</t>
  </si>
  <si>
    <t>10.2307/1552394</t>
  </si>
  <si>
    <t>WOS:000165912100012</t>
  </si>
  <si>
    <t>Braun, C; Hardy, DR; Bradley, RS; Retelle, MJ</t>
  </si>
  <si>
    <t>Streamflow and suspended sediment transfer to Lake Sophia, Cornwallis Island, Nunavut, Canada</t>
  </si>
  <si>
    <t>NORTHERN ELLESMERE ISLAND; PALEOCLIMATIC RECONSTRUCTION; YIELD RECORD; REGIMES; C2</t>
  </si>
  <si>
    <t>To ascertain the climatic controls on sediment transport to Lake Sophia, Cornwallis Island, Nunavut, Canada, we made detailed hydrological and meteorological measurements in the Sophia River watershed through the 1994 melt season. Streamflow and suspended sediment transport are limited, on an annual time scale, by the supply of snow and sediment in the watershed. Suspended sediment yield from the watershed was only 0.46 t km(-2), which is lower than any previously published yield for a stream in the High Arctic. Snowmelt runoff accounted for 88% of the annual suspended sediment load, whereas 6 and 9% were transported in response to a slushflow event and summer rainfall, respectively These measurements provide no direct evidence that modern-day sediment delivery to Lake Sophia is related to fluctuations in air temperature, which has implications for the paleoenvironmental signal preserved in Lake Sophia's laminated sediments. We suggest that on-site sediment transport studies are necessary to establish the relationships among geology, geography, climate, and hydrology unique to each watershed-lake system and need to be an integral part of any calibration attempt. Additional yeats of data are needed however to define the interannual variability of streamflow and sediment transport in response to climate.</t>
  </si>
  <si>
    <t>Univ Massachusetts, Dept Geosci, Climate Syst Res Ctr, Amherst, MA 01003 USA; Bates Coll, Dept Geol, Lewiston, ME 04240 USA</t>
  </si>
  <si>
    <t>University of Massachusetts System; University of Massachusetts Amherst</t>
  </si>
  <si>
    <t>Braun, C (corresponding author), Univ Massachusetts, Dept Geosci, Climate Syst Res Ctr, Amherst, MA 01003 USA.</t>
  </si>
  <si>
    <t>Bradley, Raymond S/P-9358-2015</t>
  </si>
  <si>
    <t>Bradley, Raymond S/0000-0002-4032-9519</t>
  </si>
  <si>
    <t>10.2307/1552395</t>
  </si>
  <si>
    <t>WOS:000165912100013</t>
  </si>
  <si>
    <t>Beylich, AA</t>
  </si>
  <si>
    <t>Geomorphology, sediment budget, and relief development in Austdalur, Austfiroir, East Iceland</t>
  </si>
  <si>
    <t>NORTHERN SWEDEN</t>
  </si>
  <si>
    <t>This process-geomorphological study analyzes the present sediment budget in a subarctic oceanic periglacial environment in East Iceland. By a combined investigation of slope denudation and streamwork in the Austdalur drainage basin (23 km(2)), located in the mountains of the Icelandic Eastern Fjords (Austfiroir), information on the intensity of the present geomorphological processes, the relative importance of the different processes for slope and valley formation, and recent trends of relief development is presented. In annual mass transfer (t m yr-l), the: fluvial sediment transport in the main channels clearly dominates over slope processes. The fluvial transport of solids is more important than the fluvial transport of dissolved salts. The most important slope process with the highest annual mass transfer is aquatic slope denudation (slope and rill wash), followed by geochemical denudation, ground avalanches, rock- and boulder falls, creep, debris slides and flows, and deflation. By the retreat of rock walls and rock ledges and the continued formation of talus cones located below the rock walls and rock ledges, slope processes cause gradual elimination of knickpoints in the slope long profiles and valley widening. The main channels incise into the bedrock of the trough valley floors. There is only a fluvial mass transfer from the slope systems into the main channels in small tributaries. The incision of the tributaries does not keep up with the incision of the main channels. At present the slope systems and the main channel systems are largely decoupled. Postglacial modification of the glacial relief is minor. Because of the shea time since the deglaciation (10,000-12,000 yr), the high resistance of the Miocene and Pliocene plateau basalt layers in the area, and the low intensity of the operating periglacial processes,; there has been no adjustment of the larger Pleistocene glacial landforms to the geomorphological processes active in the present periglacial morphoclimate.</t>
  </si>
  <si>
    <t>Univ Halle Wittenberg, Inst Geog, D-06108 Halle, Germany</t>
  </si>
  <si>
    <t>Martin Luther University Halle Wittenberg</t>
  </si>
  <si>
    <t>Beylich, AA (corresponding author), Uppsala Univ, Dept Earth Sci, Villavagen 16, SE-75236 Uppsala, Sweden.</t>
  </si>
  <si>
    <t>Beylich@geographie.uni-halle.de</t>
  </si>
  <si>
    <t>Beylich, Achim A./JUV-1673-2023</t>
  </si>
  <si>
    <t>Beylich, Achim A./0000-0003-3382-5394</t>
  </si>
  <si>
    <t>10.2307/1552396</t>
  </si>
  <si>
    <t>WOS:000165912100014</t>
  </si>
  <si>
    <t>Alvera, B; García-Ruiz, JM</t>
  </si>
  <si>
    <t>Variability of sediment yield from a high mountain catchment, control Spanish Pyrenees</t>
  </si>
  <si>
    <t>BEDLOAD TRANSPORT; GEOMORPHIC PROCESSES</t>
  </si>
  <si>
    <t>The Izas experimental catchment is located in the high Gallego Valley, Central Spanish Pyrenees, in an environment strongly affected by the presence of snow during at least six months of the year. Discharge and sediment transport variability are closely linked to snowmelt and to intense autumn rainfalls. Following 11 yr of data collection, the seasonal and interannual variability of sediment transport has been estimated, as well as the relative importance of bedload, suspended sediment and solutes. The results obtained show that the total sediment yield is relatively low (between 200 and 320 t km(-2) yr(-1)) and that solutes represent more than 60% of the sediment exported. Bedload, which in other mountain catchments reaches a great quantity, represents here, in general, less than 30% of the total sediment yield. Seasonal and interannual sediment transport variability is very high, mainly depending on the intensity of autumnal rainfalls.</t>
  </si>
  <si>
    <t>CSIC, Inst Pirenaico Ecol, Jaca 22700, Spain; CSIC, Inst Pirenaico Ecol, E-50080 Zaragoza, Spain</t>
  </si>
  <si>
    <t>Consejo Superior de Investigaciones Cientificas (CSIC); CSIC - Instituto Pirenaico de Ecologia (IPE); Consejo Superior de Investigaciones Cientificas (CSIC); CSIC - Instituto Pirenaico de Ecologia (IPE)</t>
  </si>
  <si>
    <t>Alvera, B (corresponding author), CSIC, Inst Pirenaico Ecol, Apartado 64, Jaca 22700, Spain.</t>
  </si>
  <si>
    <t>García-Ruiz, José M./D-4535-2012</t>
  </si>
  <si>
    <t>García-Ruiz, José M./0000-0002-8535-817X</t>
  </si>
  <si>
    <t>10.2307/1552397</t>
  </si>
  <si>
    <t>WOS:000165912100015</t>
  </si>
  <si>
    <t>Naruse, R; Skvarca, P</t>
  </si>
  <si>
    <t>Dynamic features of thinning and retreating Glaciar Upsala, a Lacustrine Calving Glacier in southern Patagonia</t>
  </si>
  <si>
    <t>Glaciar Upsala, which calves into a lake on the eastern side of the Hielo Patagonico Sur, South America, has significantly retreated by 5 km during the last 20 yr. The glacier near the terminus has thinned by about 33 m from 1990 to 1993. Bathymetric surveys made in 1998 at the proglacial lake revealed the existence of bedrock rises spreading out from exposed islands in the western part of the lake. Between 1978 and 1990, the western half of the glacier terminus was located at the bedrock rises, which suggests that the front fluctuations were strongly controlled by the bed topography. During 1990-93, the glacier terminus was located upstream from the bedrock rises, and it is considered to have been floating after estimation of the buoyancy. Significantly large extending strain rate of 0.22 a(-1) was deduced from the continuity consideration in 1990-93. These results are discussed with those obtained at Columbia Glacier, Alaska.</t>
  </si>
  <si>
    <t>Hokkaido Univ, Inst Low Temp Sci, Sapporo, Hokkaido 0600819, Japan; Inst Antartico Argentino, RA-1010 Buenos Aires, DF, Argentina</t>
  </si>
  <si>
    <t>Hokkaido University; Instituto Antartico Argentino</t>
  </si>
  <si>
    <t>Hokkaido Univ, Inst Low Temp Sci, Kita 19,Nishi 8, Sapporo, Hokkaido 0600819, Japan.</t>
  </si>
  <si>
    <t>ren@pop.lowtem.hokudai.ac.jp; glacio@dna.gov.ar</t>
  </si>
  <si>
    <t>10.2307/1552398</t>
  </si>
  <si>
    <t>WOS:000165912100016</t>
  </si>
  <si>
    <t>Uchida, M; Nakatsubo, T; Kasai, Y; Nakane, K; Horikoshi, T</t>
  </si>
  <si>
    <t>Altitudinal differences in organic matter mass loss and fungal biomass in a subalpine coniferous forest (vol 32, pg 266, 2000)</t>
  </si>
  <si>
    <t>Correction</t>
  </si>
  <si>
    <t>WOS:000165912100017</t>
  </si>
  <si>
    <t>Sun, LG; Xie, ZQ; Zhao, JL; Xing, GX; Shi, SL; Du, LJ</t>
  </si>
  <si>
    <t>Monitoring the concentration of N2O in the Fildes Peninsula, maritime Antarctica</t>
  </si>
  <si>
    <t>Antarctica; Fildes Peninsula; N2O; soil; penguin dropping</t>
  </si>
  <si>
    <t>OXIDE EMISSIONS; SOILS; DENITRIFICATION; CHINA</t>
  </si>
  <si>
    <t>Gases in the marine boundary layer in Fildes Peninsula, maritime Antarctica were sampled and analyzed for the first time. Sampling sites included areas covered by moss and lichen growth, penguin colonies and an area where scientific research stations are located. A total of 211 samples were analyzed for N2O concentrations, with an average of (321.33+/-3.07) nL/L. This is above the global average value of 314 nL/L. it is found that the N2O concentrations evidently increase during the summer months. Concentrations around the research stations are higher than at remote areas, indicating a potential source from human activities on the island, N2O concentrations at a large penguin colony on Barton Peninsula are the highest among the sampled areas. This may explain why N2O concentrations in Fildes Peninsula are higher than the global average. Our preliminary conclusions are that human activities and emissions from penguin dropping-amended soil and vegetation soil constitute the major sources of N2O in the maritime Antarctic atmosphere.</t>
  </si>
  <si>
    <t>Univ Sci &amp; Technol China, Inst Polar Environm, Hefei 230026, Peoples R China; Beijing Normal Univ, Inst Environm Sci, Beijing 100875, Peoples R China; Chinese Acad Sci, Inst Soil Sci, Lab Mat Cycling Pedosphere, Nanjing 210008, Peoples R China</t>
  </si>
  <si>
    <t>Chinese Academy of Sciences; University of Science &amp; Technology of China, CAS; Beijing Normal University; Chinese Academy of Sciences; Nanjing Institute of Soil Science, CAS</t>
  </si>
  <si>
    <t>Sun, LG (corresponding author), Univ Sci &amp; Technol China, Inst Polar Environm, Hefei 230026, Peoples R China.</t>
  </si>
  <si>
    <t>xie, zhouqing/P-9661-2019</t>
  </si>
  <si>
    <t>10.1007/BF02909696</t>
  </si>
  <si>
    <t>375RQ</t>
  </si>
  <si>
    <t>WOS:000165415400018</t>
  </si>
  <si>
    <t>Turkiewicz, M; Kalinowska, H; Zielinska, M; Bielecki, S</t>
  </si>
  <si>
    <t>Purification and characterization of two endo-1,4-β-xylanases from Antarctic krill, Euphausia superba Dana</t>
  </si>
  <si>
    <t>Antarctic krill; Euphausia superba; endo-1,4-beta-xylanases; purification of enzyme; beta-1,4-xylan; xylooligosaccharides</t>
  </si>
  <si>
    <t>XYLANASES; BACTERIA</t>
  </si>
  <si>
    <t>Two Euphausia superba Dana endo-1,4-beta -xylanases (A, and B), hydrolysing xylan in the same manner as the enzyme classified as EC 3.2,1.8, were isolated and purified. (2) The enzymes were distinguished by their molecular mass and charge, affinities towards the oat xylan (K-m of 4.1 and 7.7 mg ml(-1), respectively), values of activation energy in oat xylan hydrolysis (35.5 and 42.5 kJ mol.(-1), respectively), as well as the way in which they split the substrate. (3) In vitro they showed the same optimal temperature (37-40 degreesC), optimal pH (5.7-6.0). very low thermostability, and were stabilized and activated by Ca2+ and Mg2+ ions, as well as by some unidentified substances with molecular mass less than 17 kDa, present in crude extracts of krill. (C) 2000 Elsevier Science Inc. All rights reserved.</t>
  </si>
  <si>
    <t>Tech Univ Lodz, Inst Tech Biochem, PL-90924 Lodz, Poland</t>
  </si>
  <si>
    <t>Lodz University of Technology</t>
  </si>
  <si>
    <t>Tech Univ Lodz, Inst Tech Biochem, Ul Stefanowskiego 4-10, PL-90924 Lodz, Poland.</t>
  </si>
  <si>
    <t>mtur@ck-sg.p.lodz.pl</t>
  </si>
  <si>
    <t>Bielecki, Stanislaw/0000-0003-2089-8623; Kalinowska, Halina/0000-0001-8902-0005</t>
  </si>
  <si>
    <t>360 PARK AVE SOUTH, NEW YORK, NY 10010-1710 USA</t>
  </si>
  <si>
    <t>10.1016/S0305-0491(00)00268-6</t>
  </si>
  <si>
    <t>370FC</t>
  </si>
  <si>
    <t>WOS:000165112000007</t>
  </si>
  <si>
    <t>Waugh, SM; Weimerskirch, H; Cherel, Y; Prince, PA</t>
  </si>
  <si>
    <t>Contrasting strategies of provisioning and chick growth in two sympatrically breeding albatrosses at Campbell Island, New zealand</t>
  </si>
  <si>
    <t>CONDOR</t>
  </si>
  <si>
    <t>black-browed Albatross; chick growth; Diomedea chrysostoma; Diomedea melanophrys; foraging strategy; grey-headed Albatross; provisioning</t>
  </si>
  <si>
    <t>BLACK-BROWED ALBATROSSES; GREY-HEADED ALBATROSSES; FOOD DELIVERY; MEAL SIZE; POPULATION-DYNAMICS; FEEDING FREQUENCY; PELAGIC SEABIRD; D-CHRYSOSTOMA; WATER MASSES; DIOMEDEA</t>
  </si>
  <si>
    <t>The provisioning strategies of two closely related species of albatross breeding sympatrically were studied at Campbell island, New Zealand. Black-browed Albatrosses (Diomedea melanophrys) had a higher provisioning rate of chicks than Grey-headed Albatrosses (D. chrysostoma) as a result of a higher feeding frequency. Provisioning and satellite-tracking data suggest that Black-browed Albatrosses forage over neritic waters in trips of up to 5 days, in combination with longer trips over oceanic waters. In contrast, it was not possible to separate clearly short and long trips in Grey-headed Albatrosses, but they probably forage mostly over oceanic waters, combined with rafting or feeding near the colony during stays of short duration at sea. No inter-annual differences in foraging trip duration were apparent between years for either species. Chicks were fed larger meals at older ages and when in poorer condition, probably due to a limitation on the rate of assimilation of food. For both species, chick condition after feeding did not influence the duration of foraging trips. Black-browed Albatrosses from Campbell Island feed locally in neritic waters and up to 2,000 km from the colony, in contrast to conspecifics from other sites which feed principally over neritic waters. Grey-headed Albatrosses were largely dependent on oceanic resources as for conspecifics studied elsewhere. This study shows that foraging and provisioning strategies are flexible within species, allowing them to exploit more or less distant resources.</t>
  </si>
  <si>
    <t>NIWA, Christchurch, New Zealand; CNRS, CEBC, F-79360 Beauvoir sur Niort, France; British Antarctic Survey, NERC, Cambridge CB3 0ET, England</t>
  </si>
  <si>
    <t>National Institute of Water &amp; Atmospheric Research (NIWA) - New Zealand; Centre National de la Recherche Scientifique (CNRS); UK Research &amp; Innovation (UKRI); Natural Environment Research Council (NERC); NERC British Antarctic Survey</t>
  </si>
  <si>
    <t>Waugh, SM (corresponding author), NIWA, Christchurch, New Zealand.</t>
  </si>
  <si>
    <t>Weimerskirch, Henri/K-7306-2019; Weimerskirch, Henri/F-5562-2013</t>
  </si>
  <si>
    <t>Weimerskirch, Henri/0000-0002-0457-586X;</t>
  </si>
  <si>
    <t>OXFORD UNIV PRESS INC</t>
  </si>
  <si>
    <t>CARY</t>
  </si>
  <si>
    <t>JOURNALS DEPT, 2001 EVANS RD, CARY, NC 27513 USA</t>
  </si>
  <si>
    <t>0010-5422</t>
  </si>
  <si>
    <t>1938-5129</t>
  </si>
  <si>
    <t>Condor</t>
  </si>
  <si>
    <t>10.1650/0010-5422(2000)102[0804:CSOPAC]2.0.CO;2</t>
  </si>
  <si>
    <t>376NV</t>
  </si>
  <si>
    <t>WOS:000165464400008</t>
  </si>
  <si>
    <t>Convey, P; Worland, MR</t>
  </si>
  <si>
    <t>Survival of freezing by free-living antarctic soil nematodes</t>
  </si>
  <si>
    <t>CRYO-LETTERS</t>
  </si>
  <si>
    <t>Symposium on Insect and Plant Cold Tolerance (TEMP2000)</t>
  </si>
  <si>
    <t>MAY 28-JUN 02, 2000</t>
  </si>
  <si>
    <t>Antarctic; nematode; freeze tolerance; survival</t>
  </si>
  <si>
    <t>COLD-HARDINESS; SEASONAL-VARIATION; STRATEGIES; TOLERANCE</t>
  </si>
  <si>
    <t>Free-living microbivorous nematodes become numerically dominant in Antarctic terrestrial faunas as environmental conditions become more severe, while also reaching very high levels of abundance in moist, vegetated habitats. Nematodes have little resistance to freezing via exogenous ice nucleation, such as would occur as their microhabitat freezes. We report the results of experiments testing the ability of seven maritime Antarctic nematode taxa to survive freezing in small water droplets at high sub-zero temperatures. Isolated individuals of these species possessed supercooling characteristics similar to those previously reported (supercooling points -6 to -25 degreesC). When frozen in water at -3 to -6 degreesC, most showed high (&gt; 70%) survival both (i) after rapid cooling (1 degreesC min(-1)) to c. -60 degreesC followed by immediate rewarming, and (ii) when field for 7-12 h at either -10 or -30 degreesC, although the proportions surviving varied between species. We propose that the ability to survive freezing while fully hydrated at high sub-zero temperatures is one of the most important aspects of these species' survival tactics.</t>
  </si>
  <si>
    <t>CRYO LETTERS</t>
  </si>
  <si>
    <t>C/O ROYAL VETERINARY COLLEGE, ROYAL COLLEGE ST, LONDON NW1 0TU, ENGLAND</t>
  </si>
  <si>
    <t>0143-2044</t>
  </si>
  <si>
    <t>CRYO-LETT</t>
  </si>
  <si>
    <t>Cryo-Lett.</t>
  </si>
  <si>
    <t>NOV-DEC</t>
  </si>
  <si>
    <t>Biology; Physiology</t>
  </si>
  <si>
    <t>Life Sciences &amp; Biomedicine - Other Topics; Physiology</t>
  </si>
  <si>
    <t>388ZW</t>
  </si>
  <si>
    <t>WOS:000166213900002</t>
  </si>
  <si>
    <t>Refining the risk of freezing mortality for Antarctic terrestrial microarthropods</t>
  </si>
  <si>
    <t>Antarctic; mite; springtail; exogenous nucleation; mortality risk</t>
  </si>
  <si>
    <t>COLD TOLERANCE</t>
  </si>
  <si>
    <t>In studies of three common, freezing susceptible, Antarctic microarthropods, the springtail Cryptopygus antarcticus and the mites Alaskozetes antarcticus and Halozetes belgicae, we report (i) the consequences on cold tolerance of cooling in contact with water, and (ii) the risk of freezing when held at temperatures above the typical freezing point (measured using standard techniques) for up to 12 h. The springtail showed no change in SCP distribution when in contact with freezing water while, in contrast, the mites showed clear shifts towards decreased cold tolerance, in addition to death of c. 33% of individuals during the freezing of the water. The springtail showed a bimodal SCP distribution, with the population divided into high(typically -8 to -12 degreesC) and low (typically below -20 degreesC) groups. Some animals held at temperatures above these values froze, over a timescale between minutes and several hours. These results highlight the danger of equating standard cold tolerance measures with mortality risk under more realistic water and thermal regimes.</t>
  </si>
  <si>
    <t>WOS:000166213900003</t>
  </si>
  <si>
    <t>Dunnet, D; Block, W; Worland, R; Reed, BM; Benson, EE</t>
  </si>
  <si>
    <t>Profiling cryopreservation protocols for Ribes ciliatum using differential scanning colorimetry</t>
  </si>
  <si>
    <t>CRYOLETTERS</t>
  </si>
  <si>
    <t>Cryopreservation; water content; differential scanning calorimetry; desiccation; thermal analysis; vitrification; Ribes</t>
  </si>
  <si>
    <t>COLD-ACCLIMATION; ENCAPSULATION-DEHYDRATION; FREEZING TOLERANCE; DESICCATION; PROTEINS; APICES</t>
  </si>
  <si>
    <t>DSC analysis was performed at three points in the cryopreservation process on encapsulated-dehydrated meristems of Ribes ciliatum. Meristems were excised from shoots pre-treated with either sucrose or glucose, encapsulated in alginate beads, dehydrated in sucrose solutions, air dried, and plunged in liquid nitrogen. Thermal analysis revealed glass transitions during cooling of air-desiccated meristems, however, on rewarming a small endothermic event was detected suggesting glass destabilization carl occur. Interestingly, this did not occur iri alginate beads or meristems when these components were cooled and rewarmed separately. The possibility exists that thermal and moisture gradients may arise within the alginate bead/tissue complex and we propose that the heterogeneous composition of the meristems and the surrounding alginate may promote ice nucleation on rewarming. The significance of this regarding the stabilization of glasses formed in alginate beads and their. encapsulated meristems is discussed. This study also reports an approach to Ribes cryopreservation in which the pregrowth of shoots in 0.75M sucrose for 1 week can be used as a substitute for cold acclimation.</t>
  </si>
  <si>
    <t>Univ Abertay Dundee, Sch Sci &amp; Engn, Plant Conservat Grp, Dundee DD1 1HG, Scotland; British Antarctic Survey, NERC, Cambridge CB3 0ET, England; USDA ARS, Natl Clonal Germplasm Repository, Corvallis, OR 97333 USA</t>
  </si>
  <si>
    <t>University of Abertay Dundee; UK Research &amp; Innovation (UKRI); Natural Environment Research Council (NERC); NERC British Antarctic Survey; United States Department of Agriculture (USDA)</t>
  </si>
  <si>
    <t>Univ Abertay Dundee, Sch Sci &amp; Engn, Plant Conservat Grp, Bell St, Dundee DD1 1HG, Scotland.</t>
  </si>
  <si>
    <t>Reed, Barbara/R-9313-2019</t>
  </si>
  <si>
    <t>Reed, Barbara/0000-0003-0079-8473</t>
  </si>
  <si>
    <t>1742-0644</t>
  </si>
  <si>
    <t>CryoLetters</t>
  </si>
  <si>
    <t>WOS:000166213900007</t>
  </si>
  <si>
    <t>Ulloa, R; Palma, S; Silva, N</t>
  </si>
  <si>
    <t>Bathymetric distribution of chaetognaths and their association with water masses off the coast of Valparaiso, Chile</t>
  </si>
  <si>
    <t>chaetognatha; seasonal distribution; vertical distribution; water masses</t>
  </si>
  <si>
    <t>OCEAN STATION-P; VERTICAL-DISTRIBUTION; PELAGIC CHAETOGNATHS; PACIFIC</t>
  </si>
  <si>
    <t>The bathymetric distribution of chaetognaths was studied at an oceanic station located 14 nautical miles off Valparaiso. During an annual cycle between July 1994 and September 1995, vertical samples of plankton were taken between 0 and 900 m depth. Temperature, salinity and dissolved oxygen showed temporal and spatial fluctuations within the surface layer (0-100 m), mainly affected by Subantarctic Water and in certain periods by Subtropical Water. Between 150 and 400 m low dissolved oxygen content and higher salinity were found, characteristic of Equatorial Subsurface Waters, and between 400 and 800 m Antarctic Intermediate Water, characterized by its higher content of dissolved oxygen and lower temperature and salinity was present. Fifteen species of chaetognaths were identified: Sagitta bierii, S. enflata, S, minima, S. pacifica, S. lyra, S. planctonis, S. marri, S. macrocephala, S. maxima, S. decipiens, S. tasmanica, S. gazellae, Krohnitta subtilis, Eukrohnia hamata and E. fowleri. The most abundant and frequent species were Sagitta enflata, S. bierii and Eukrohnia hamata. The greatest density of chaetognaths was confined to the 0-200 m water column and the species diversity gradually decreased from the epiplanktonic to the mesoplanktonic domain. The vertical distribution of the chaetognaths showed a strong association with the water masses present. The epipelagic species (0-200 m) S. enflata, S. bierii, S. minima and Krohnitta subtilis are associated mainly with Subantarctic Water and occasionally with Subtropical Water; the mesopelagic species (200-1000 m) S. lyra, S. planctonis, S. macrocephala, S. marri and E. fowleri are associated with Equatorial Subsurface Water and Antarctic Intermediate Water. There is another species assemblage of broad bathymetric distribution (0-900 m) consisting of E. hamata, S. decipiens and S. maxima, which does not show a distinctive association with a given water mass. E hamata is an indicator species of upwelling events off the Chilean coast, showing an association with waters of low temperatures, greater salinity, and low contents of dissolved oxygen, which are characteristic of Equatorial Subsurface Water. (C) 2000 Elsevier Science Ltd. All rights reserved.</t>
  </si>
  <si>
    <t>Univ Catolica De Valparaiso, Escuela Ciencias Del Mar, Valparaiso, Chile</t>
  </si>
  <si>
    <t>Pontificia Universidad Catolica de Valparaiso</t>
  </si>
  <si>
    <t>Univ Catolica De Valparaiso, Escuela Ciencias Del Mar, Casilla 1020, Valparaiso, Chile.</t>
  </si>
  <si>
    <t>spalma@ucv.cl</t>
  </si>
  <si>
    <t>10.1016/S0967-0637(00)00020-0</t>
  </si>
  <si>
    <t>349TV</t>
  </si>
  <si>
    <t>WOS:000089062400001</t>
  </si>
  <si>
    <t>Cockell, CS; Southern, A; Herrera, A</t>
  </si>
  <si>
    <t>Lack of UV radiation in Biosphere 2 - practical and theoretical effects on plants</t>
  </si>
  <si>
    <t>ECOLOGICAL ENGINEERING</t>
  </si>
  <si>
    <t>ultraviolet; bioengineering; ecosystem; radiation; extraterrestrial; closed-loop; Biosphere 2</t>
  </si>
  <si>
    <t>ULTRAVIOLET-B RADIATION; OZONE DEPLETION; PHYTOPLANKTON; PHOTOSYNTHESIS; ECOSYSTEMS</t>
  </si>
  <si>
    <t>UV radiation is an important physical stressor for many exposed organisms. It also has a diversity of positive roles in the biosphere, such as in UVA-dependent vision. In artificial ecosystems where the spectral quality is dramatically altered by the overlying structure these interelationships can be disturbed. Here practical and theoretical measurements are presented for the effects of UV exclusion on desert cacti in Biosphere 2. Cacti inside the biosphere lack flavonoids as a result of the attenuation of UVB and most of the UVA radiation caused by the glass structure. Although the theoretical inhibition to chloroplasts is less than outside, it is much greater than would be expected if the plants inside possessed flavonoids, since the small amount of UVA radiation (385-400 nm) that penetrates has a disproportionately greater theoretical effect. The importance of understanding the effects of UV exclusion in artificial ecosystems and the importance of exercising caution in interpreting the data from artificial enclosed ecosystems in the context of the natural world, is discussed. (C) 2000 Published by Elsevier Science B.V.</t>
  </si>
  <si>
    <t>Columbia Univ, Biosphere Ctr 2, Oracle, AZ 85623 USA; Rice Univ, Houston, TX 77005 USA</t>
  </si>
  <si>
    <t>Columbia University; Rice University</t>
  </si>
  <si>
    <t>Cockell, CS (corresponding author), British Antarctic Survey, High Cross,Madingley Rd, Cambridge CB3 0ET, England.</t>
  </si>
  <si>
    <t>0925-8574</t>
  </si>
  <si>
    <t>ECOL ENG</t>
  </si>
  <si>
    <t>Ecol. Eng.</t>
  </si>
  <si>
    <t>10.1016/S0925-8574(99)00057-9</t>
  </si>
  <si>
    <t>Ecology; Engineering, Environmental; Environmental Sciences</t>
  </si>
  <si>
    <t>Environmental Sciences &amp; Ecology; Engineering</t>
  </si>
  <si>
    <t>369HT</t>
  </si>
  <si>
    <t>WOS:000165060400008</t>
  </si>
  <si>
    <t>Sugden, DE</t>
  </si>
  <si>
    <t>Pilgrims on ice: Robert Falcon Scott's first Antarctic expedition</t>
  </si>
  <si>
    <t>ENGLISH HISTORICAL REVIEW</t>
  </si>
  <si>
    <t>Univ Edinburgh, Edinburgh EH8 9YL, Midlothian, Scotland</t>
  </si>
  <si>
    <t>University of Edinburgh</t>
  </si>
  <si>
    <t>Sugden, DE (corresponding author), Univ Edinburgh, Edinburgh EH8 9YL, Midlothian, Scotland.</t>
  </si>
  <si>
    <t>OXFORD UNIV PRESS</t>
  </si>
  <si>
    <t>GREAT CLARENDON ST, OXFORD OX2 6DP, ENGLAND</t>
  </si>
  <si>
    <t>0013-8266</t>
  </si>
  <si>
    <t>ENGL HIST REV</t>
  </si>
  <si>
    <t>Engl. Hist. Rev.</t>
  </si>
  <si>
    <t>10.1093/ehr/115.464.1355</t>
  </si>
  <si>
    <t>380PF</t>
  </si>
  <si>
    <t>WOS:000165709700142</t>
  </si>
  <si>
    <t>Polar bonds - Environmental relationships in the polar regions</t>
  </si>
  <si>
    <t>PLACE ATTACHMENT; LOVE; INTIMACY; VALIDITY</t>
  </si>
  <si>
    <t>Based on similarities between the concepts of place attachment and interpersonal relationships, these studies take as their starting points Sternberg's (1988a) triangular theory of love and Walster and Walster's (1978) passionate-to-companionate model of love's stages. In Study 1, interviews were collected from sojourners to the Arctic and Antarctic. These interviews were assessed by judges for the amount of passion for, intimacy with, and commitment to the polar region. In Study 2, a self-report form was used to collect data from 30 Arctic sojourners regarding their feelings toward their polar work site. Results from Study 1 indicated that the passionate-to-companionate progression occurred in environmental relationships; Study 2 failed to confirm this finding. In Study 2, analysis of work site type indicated that field workers had the greatest degree of love for the Arctic. In both studies, analysis of the 3 dimensions indicated that environmental love is best viewed as a monolithic construct.</t>
  </si>
  <si>
    <t>Univ British Columbia, Vancouver, BC V5Z 1M9, Canada</t>
  </si>
  <si>
    <t>University of British Columbia</t>
  </si>
  <si>
    <t>10.1177/00139160021972801</t>
  </si>
  <si>
    <t>363ZV</t>
  </si>
  <si>
    <t>WOS:000089868300004</t>
  </si>
  <si>
    <t>Walter, HJ; Hegner, E; Diekmann, B; Kuhn, G; van der Loeff, MMR</t>
  </si>
  <si>
    <t>Provenance and transport of terrigenous sediment in the South Atlantic Ocean and their relations to glacial and interglacial cycles: Nd and Sr isotopic evidence</t>
  </si>
  <si>
    <t>GEOCHIMICA ET COSMOCHIMICA ACTA</t>
  </si>
  <si>
    <t>ANTARCTIC CIRCUMPOLAR CURRENT; SURFACE SEDIMENTS; WEDDELL SEA; SCOTIA SEA; DEEP-WATER; CORE DUST; DOME-C; ORIGIN; GEOCHEMISTRY; CIRCULATION</t>
  </si>
  <si>
    <t>Sr and Nd isotopic compositions of Late Quaternary surface sediment and sediment cores from the south Atlantic and southeast Pacific sectors of the Southern Ocean are used to constrain the provenance and transport mechanisms of their terrigenous component. We report isotopic and mineralogical data for core samples from three localities, the Mid-Atlantic Ridge at 41 degreesS and the northern and southern Scotia Sea. In addition, data for surface sediment samples from the south Atlantic and southeast Pacific sectors of the Southern Ocean are presented. The variations of Sr and Nd isotopic compositions of the bulk sediment samples in all cores were correlated with the magnetic susceptibility of the sediment and with the inferred glacial-interglacial stages. The isotopic data indicate that, during glacial periods, sediment was delivered from continental crust with a shorter residence time than that supplying material during interglacial periods. At the core site near the Mid-Atlantic Ridge, Nd isotopic, combined with mineralogical evidence indicates interglacial period deposition of a relatively high amount of kaolinite and silt with low epsilon (Nd) values &lt; -8. The material was probably supplied by North Atlantic Deep Water from low latitudes. For glacial periods, a high contribution of silt and clay with (Nd) &gt; -4.5, probably derived from southern South America, was indicated. The glacial-interglacial shift in sources may be due to either a decreasing influence of North Atlantic Deep Water during glacial times or by a larger contribution of glaciogenic detritus from southern South America. At the core site in the northern Scotia Sea, sediment of interglacial periods is dominated by smectite with epsilon (Nd) &lt; - 6 and silt with (Nd) &gt; -4. We suggest that smectite was derived from the Falkland shelf and silt was derived from the Argentinian shelf. During glacial periods, the Argentinian shelf was an important source for silt and chlorite with epsilon (Nd) &gt; -4. The contribution from the Falkland shelf seems to have remained similar during glacial and interglacial periods. Hydrographic transport by bottom currents and turbidites could account for the high glacial detrital flux. An evaluation of the significance of an aeolian contribution to deep sea sediment suggests that it plays only a minor role. In the southern Scotia Sea, the Antarctic Peninsula is considered an important source for young material with epsilon (Nd) &gt; -4, in particular during glacial periods. During interglacial periods, sediment supply from the Antarctic Peninsula was lower than during glacial times, resulting in a relatively high contribution of old material (epsilon (Nd) &lt; -8) from East Antarctica. Deep water currents and icebergs could account for the transport of the old component to the southern Scotia Sea. The accumulation rates of material from the various source regions for glacial times are in agreement with an increase in the strength of the Antarctic Circumpolar Current. The production rate and the circulation pattern of bottom water in the Weddell Sea appear to have remained similar over most of the last 150 kyr. Copyright (C) 2000 Elsevier Science Ltd.</t>
  </si>
  <si>
    <t>Alfred Wegener Inst Polar &amp; Meeresforsch, D-27576 Bremerhaven, Germany; Univ Tubingen, Inst Geochem, D-72074 Tubingen, Germany</t>
  </si>
  <si>
    <t>Helmholtz Association; Alfred Wegener Institute, Helmholtz Centre for Polar &amp; Marine Research; Eberhard Karls University of Tubingen</t>
  </si>
  <si>
    <t>Walter, HJ (corresponding author), Alfred Wegener Inst Polar &amp; Meeresforsch, D-27576 Bremerhaven, Germany.</t>
  </si>
  <si>
    <t>Diekmann, Bernhard/0000-0001-5129-3649; Kuhn, Gerhard/0000-0001-6069-7485</t>
  </si>
  <si>
    <t>0016-7037</t>
  </si>
  <si>
    <t>GEOCHIM COSMOCHIM AC</t>
  </si>
  <si>
    <t>Geochim. Cosmochim. Acta</t>
  </si>
  <si>
    <t>10.1016/S0016-7037(00)00476-2</t>
  </si>
  <si>
    <t>372FD</t>
  </si>
  <si>
    <t>WOS:000165222900004</t>
  </si>
  <si>
    <t>González-Casado, JM; Giner-Robles, JL; López-Martínez, J</t>
  </si>
  <si>
    <t>Bransfield Basin, Antarctic Peninsula:: Not a normal backarc basin</t>
  </si>
  <si>
    <t>recent tectonics; backarc basin; stress field; Antarctic Peninsula</t>
  </si>
  <si>
    <t>WEST ANTARCTICA; PLATE; TECTONICS; EVOLUTION; SHETLAND; ISLAND</t>
  </si>
  <si>
    <t>The Bransfield Basin, a marginal basin Located northwest of the Antarctic Peninsula, has been habitually considered as a backarc basin associated with the rollback process that took place along an inactive plate boundary, the South Shetland Trench, where the Antarctic and the Phoenix plates meet. New geophysical and structural data discussed in this paper show that the basin opening is related to a sinistral simple-shear couple between the Scotia and the Antarctic plates, and not to the previously suggested rollback mechanism. The widening of the Bransfield Basin and the lack of trench retreat are causing compression in the South Shetland Islands. Two different neotectonic stress directions, with interchanged stress awes, are found in the area of the South Shetland block.</t>
  </si>
  <si>
    <t>Univ Autonoma Madrid, Fac Ciencias, Dept Quim Agr Geol &amp; Geoquim, E-28049 Madrid, Spain</t>
  </si>
  <si>
    <t>Autonomous University of Madrid</t>
  </si>
  <si>
    <t>González-Casado, JM (corresponding author), Univ Autonoma Madrid, Fac Ciencias, Dept Quim Agr Geol &amp; Geoquim, E-28049 Madrid, Spain.</t>
  </si>
  <si>
    <t>Lopez-Martinez, Jeronimo/C-5744-2011; Giner-Robles, Jorge L./H-5063-2011</t>
  </si>
  <si>
    <t>Lopez-Martinez, Jeronimo/0000-0002-1750-8287; Giner-Robles, Jorge L./0000-0002-1507-4796</t>
  </si>
  <si>
    <t>10.1130/0091-7613(2000)028&lt;1043:BBAPNA&gt;2.3.CO;2</t>
  </si>
  <si>
    <t>373FP</t>
  </si>
  <si>
    <t>WOS:000165277900021</t>
  </si>
  <si>
    <t>Vovk, VY; Egorova, LV; Moskvin, IV</t>
  </si>
  <si>
    <t>Effects of GCR Forbush decreases on atmospheric parameters in the Antarctic</t>
  </si>
  <si>
    <t>GALACTIC COSMIC-RAYS; SOLAR; CONNECTION</t>
  </si>
  <si>
    <t>We consider the effects of fifty solar flares during the 1981-1991 solar cycle and that of the corresponding Galactic-cosmic-ray (GCR) Forbush decreases in pressure, temperature, and wind variations in the Antarctic. At the Vostok station (Phi = 89.3 degrees), GCR Forbush decreases cause a rise in near-ground temperature from 4 to 24 degreesC (by 12.5 degreesC, on the average), a change in pressure by 1.5-5% at altitudes 0, 5, 10, and 15 km, and a change in wind direction by 80 degrees -100 degrees, depending on altitude. During the intense Forbush decrease of June 13, 1991, at Vostok, Mirny (Phi = 76.8 degrees), Molodezhnaya (Phi = 70.2 degrees), and Novolazarevskaya (Phi = 66.8 degrees), the wind changed both its direction from 270 degrees to 50 degrees on the second-fifth days and its velocity from 4 to 22 km s(-1), depending on latitude.</t>
  </si>
  <si>
    <t>Arctic &amp; Antarctic Res Inst, St Petersburg 199226, Russia</t>
  </si>
  <si>
    <t>Vovk, VY (corresponding author), Arctic &amp; Antarctic Res Inst, St Petersburg 199226, Russia.</t>
  </si>
  <si>
    <t>390TJ</t>
  </si>
  <si>
    <t>WOS:000166312500021</t>
  </si>
  <si>
    <t>Rankin, AM; Auld, V; Wolff, EW</t>
  </si>
  <si>
    <t>Frost flowers as a source of fractionated sea salt aerosol in the polar regions</t>
  </si>
  <si>
    <t>ICE; SURFACE; SNOW; BACKSCATTER; ATMOSPHERE; ANTARCTICA; GROWTH; SAR</t>
  </si>
  <si>
    <t>Frost flowers collected from the surface of new sea ice near the Brunt Ice Shelf, Antarctica, show depletion in sulphate and sodium relative to other sea water ions. This is consistent with loss of mirabilite (Na2SO4) during formation of the brine from which the frost flowers grow. Aerosol generated from frost flowers would have higher sodium:sulphate ratios than aerosol generated from sea water. This would explain low values of non-sea-salt sulphate encountered in winter aerosol, and winter layers in ice cores, at coastal Antarctic sites. Calculations confirm that the frost flower source should be significant compared to an open water source for coastal regions.</t>
  </si>
  <si>
    <t>British Antarctic Survey, Natl Environm Res Council, Cambridge CB3 0ET, England</t>
  </si>
  <si>
    <t>British Antarctic Survey, Natl Environm Res Council, High Cross,Madingley Rd, Cambridge CB3 0ET, England.</t>
  </si>
  <si>
    <t>a.rankin@bas.ac.uk; e.wolff@bas.ac.uk</t>
  </si>
  <si>
    <t>Wolff, Eric W/D-7925-2014</t>
  </si>
  <si>
    <t>Wolff, Eric W/0000-0002-5914-8531</t>
  </si>
  <si>
    <t>1944-8007</t>
  </si>
  <si>
    <t>NOV 1</t>
  </si>
  <si>
    <t>10.1029/2000GL011771</t>
  </si>
  <si>
    <t>369JW</t>
  </si>
  <si>
    <t>Green Accepted</t>
  </si>
  <si>
    <t>WOS:000165063000009</t>
  </si>
  <si>
    <t>Fabrés, J; Calafat, A; Canals, M; Bárcena, MA; Flores, JA</t>
  </si>
  <si>
    <t>Bransfield Basin fine-grained sediments:: late-Holocene sedimentary processes and Antarctic oceanographic conditions</t>
  </si>
  <si>
    <t>Bransfield Basin; late Holocene; marine sedimentology; geochemistry; palaeoceanography; palaeoclimatology; Antarctic</t>
  </si>
  <si>
    <t>SUSPENDED PARTICULATE MATTER; SOUTH-SHETLAND-ISLANDS; NORTHERN WEDDELL SEA; PENINSULA REGION; PARTICLE-FLUX; ROSS SEA; SURFACE SEDIMENTS; DISPERSAL PATTERN; ATLANTIC SECTOR; WEST ANTARCTICA</t>
  </si>
  <si>
    <t>The Antarctic Peninsula is sensitive to climatic change due to its northerly position and to the relatively reduced volume and character of its ice cover. High-resolution palaeoclimatic records from the Antarctic Peninsula ice cores extend back only 500 years. A climatic record of 2850 years in the Bransfield Basin is investigated through the analysis of sediment gravity cores from the floor of the central subbasin (core GEBRA-1) and the slope of the eastern subbasin (core GEBRA-2). Sedimentological, mineralogical and geochemical properties have been systematically measured, together with Accelerator Mass Spectrometry (AMS) radiocarbon dating. The fine-grained sediments result from two main processes: hemipelagic settling from resuspensions and primary productivity, and turbidity currents. Hemipelagic sediments were selected to investigate the oceanographic and climatic conditions of the northern Antarctic Peninsula region during the last three millennia. Cold climatic periods are characterized by millimetric laminations and/or black layers with higher organic carbon, nitrogen and opal contents. Warm periods are recorded as massive to diffuse laminated facies with lower biogenic contents. The results include the 'Little Ice Age' (LIA) cold pulse as well as several 200- 300 year long fluctuations within the LIA and before this major climatic event of the Holocene.</t>
  </si>
  <si>
    <t>Univ Barcelona, Dept Estratig &amp; Paleontol, GRC Geociencies Marines, E-08028 Barcelona, Spain; Univ Salamanca, Fac Ciencias, Dept Geol, E-37008 Salamanca, Spain</t>
  </si>
  <si>
    <t>University of Barcelona; University of Salamanca</t>
  </si>
  <si>
    <t>Calafat, A (corresponding author), Univ Barcelona, Dept Estratig &amp; Paleontol, GRC Geociencies Marines, Campus Univ Pebralbes, E-08028 Barcelona, Spain.</t>
  </si>
  <si>
    <t>Barcena, María Angeles/D-5839-2011; Flores, José-Abel/D-4218-2009; Calafat, Antoni/J-5848-2017; Canals, Miquel/F-4922-2013</t>
  </si>
  <si>
    <t>Barcena, María Angeles/0000-0001-8261-2286; Flores, José-Abel/0000-0003-1909-293X; Calafat, Antoni/0000-0001-7927-3105; Canals, Miquel/0000-0001-5267-7601; Fabres, Joan/0000-0002-6523-8939</t>
  </si>
  <si>
    <t>10.1191/09596830094953</t>
  </si>
  <si>
    <t>375HM</t>
  </si>
  <si>
    <t>WOS:000165393500004</t>
  </si>
  <si>
    <t>McGlone, MS; Wilmshurst, JM; Wiser, SK</t>
  </si>
  <si>
    <t>Lateglacial and Holocene vegetation and climatic change on Auckland Island, Subantarctic New Zealand</t>
  </si>
  <si>
    <t>Subantarctic islands; pollen analysis; climate change; Holocene; Auckland Island; New Zealand; die-back; Metrosideros umbellata</t>
  </si>
  <si>
    <t>ANTARCTIC SOUTH-AMERICA; TIERRA-DEL-FUEGO; AGE CALIBRATION; PROGRAM; HISTORY; AREAS</t>
  </si>
  <si>
    <t>Auckland Island is a small uninhabited Subantarctic island south (c.51 degreesS) of the New Zealand mainland. It is the southernmost outpost of tall forest in the southwest Pacific. Pollen analysis of two closely adjacent peat cores near tree-line documents climate change and forest dynamics during the Lateglacial and Holocene. After the retreat of glaciers before 15 000 C-14 yr BP, mountain tundra communities dominated on mineral soils under a cooler (c. 3 degreesC lower) climate than now. By 11 000 C-14 yr BP, a transition to Chionochloa antarctica grassland and peaty soils was complete, and by 10 000 C-14 yr BP shrub/grassland became dominant. Forest tree species (Metrosideros umbellata, Dracophyllum longifolium and Raukaua simplex) spread slowly from 10-000 C-14 yr BP, but did not form tall forest until 5500-4000 C-14 yr BP, despite southern ocean temperatures being warmer in the early Holocene. We suggest that warm, cloudy, low-radiation environments inhibited forest growth during the early Holocene in this intensely oceanic setting, through promoting saturated soils and reducing net photosynthesis. It was only in the later Holocene, when increased westerly windflow brought sunnier, although cooler and windier, climates, that forest expansion occurred on sheltered lowland sites. The forest at the study site collapsed to scrub at least twice within the last 2000 years, most likely because of extended periods of saturated soils.</t>
  </si>
  <si>
    <t>Landcare Res, Lincoln 8152, New Zealand</t>
  </si>
  <si>
    <t>Landcare Research - New Zealand</t>
  </si>
  <si>
    <t>McGlone, MS (corresponding author), Landcare Res, POB 69, Lincoln 8152, New Zealand.</t>
  </si>
  <si>
    <t>Wilmshurst, Janet/O-8611-2019; Wiser, Susan/G-1975-2011</t>
  </si>
  <si>
    <t>Wilmshurst, Janet/0000-0002-4474-8569; Wiser, Susan/0000-0002-8938-8181</t>
  </si>
  <si>
    <t>10.1191/09596830094962</t>
  </si>
  <si>
    <t>WOS:000165393500005</t>
  </si>
  <si>
    <t>Ramírez, FC; Sabatini, ME</t>
  </si>
  <si>
    <t>The occurrence of Calanidae species in waters off Argentina</t>
  </si>
  <si>
    <t>copepods; Calanus; Neocalanus; Calanoides; southwestern Atlantic</t>
  </si>
  <si>
    <t>SUB-ANTARCTIC COPEPOD; CALANOIDES-CARINATUS; BENGUELA ECOSYSTEM; ZOOPLANKTON; DYNAMICS; CALANUS; SHELF; GROWTH; COAST</t>
  </si>
  <si>
    <t>As food of planktivorous fish and likely good predictors of natural perturbations, members of the family Calanidae are recognised to be key species in ecosystems worldwide. The distribution and seasonal relative abundance of the Calanidae species occurring in the Argentine Sea were reviewed from published and unpublished data collected over the last three decades. Species are also figured in order to elucidate any possible taxonomic uncertainty. Calanoides cf. carinatus, Calanus australis and Calanus simillimus are the most abundant calanids in the region. The former two species typically inhabit inner and middle shelf waters decreasing offshore, while Calanus simillimus is distributed in the middle and outer shelf, its abundance increasing towards the shelf-break. The southern limit of the distribution of Calanoides cf. carinatus appears to be similar to 46 degrees S. Calanus australis is the most common large copepod in coastal and inner shelf waters off southern Patagonia. Neocalanus tonsus and Calanoides patagoniensis are a much rarer species. The latter is recorded in the southwestern Atlantic, for the first time, immediately east of Magallanes Strait and the Beagle Channel. The taxonomic status and worldwide biogeographic distribution of the region's calanids are briefly described and the patterns identified off Argentina are discussed in relation to the major hydrographic characteristics.</t>
  </si>
  <si>
    <t>INIDEP, RA-7600 Mar Del Plata, Argentina; Consejo Nacl Invest Cient &amp; Tecn, RA-1033 Buenos Aires, DF, Argentina</t>
  </si>
  <si>
    <t>National Fisheries Research &amp; Development Institute (INIDEP); Consejo Nacional de Investigaciones Cientificas y Tecnicas (CONICET)</t>
  </si>
  <si>
    <t>Sabatini, ME (corresponding author), INIDEP, Paseo Victoria Ocampo 1 Escollera Norte CC 175, RA-7600 Mar Del Plata, Argentina.</t>
  </si>
  <si>
    <t>marsab@inidep.edu.ar</t>
  </si>
  <si>
    <t>10.1023/A:1004193401931</t>
  </si>
  <si>
    <t>394AJ</t>
  </si>
  <si>
    <t>WOS:000166501600004</t>
  </si>
  <si>
    <t>Apostolopoulos, DS; Wagner, MD; Shamah, BN; Pedersen, L; Shillcutt, K; Whittaker, WL</t>
  </si>
  <si>
    <t>Technology and field demonstration of robotic search for antarctic meteorites</t>
  </si>
  <si>
    <t>INTERNATIONAL JOURNAL OF ROBOTICS RESEARCH</t>
  </si>
  <si>
    <t>robotic meteorite search; science autonomy; Bayesian meteorite classifier</t>
  </si>
  <si>
    <t>Meteorites are the only significant source of material from other planets and asteroids, and therefore are of immense scientific value. Antarctica's frozen and pristine environment has proven to be the best place on earth to harvest meteorite specimens. The lack of melting and surface erosion keep meteorite falls visible on the ice surface in pristine condition for thousands of years. In this article, we describe the robotic technologies and field demonstration that enabled the first discovery of Antarctic meteorites by a robot. Using a novel autonomous control architecture, specialized science sensing, combined manipulation and visual servoing, and Bayesian classification, the Nomad robot found and classified five indigenous meteorites during an expedition to the remote sire of Elephant Moraine in January 2000. This article first overviews Nomad's mechatronic systems and details the control architecture that governs the robot's autonomy and classifier that enables the autonomous interpretation of scientific data. It then focuses on the technical results achieved during field demonstrations at Elephant Moraine. Finally, the article discusses the benefits and limitations of robotic autonomy in science missions. Science autonomy is shown as a capable and expandable architecture for exploration and in situ classification. Inefficiencies in the existing implementation are explained with a focus on important lessons that outline future work.</t>
  </si>
  <si>
    <t>Carnegie Mellon Univ, Inst Robot, Pittsburgh, PA 15213 USA</t>
  </si>
  <si>
    <t>Carnegie Mellon University</t>
  </si>
  <si>
    <t>Carnegie Mellon Univ, Inst Robot, Pittsburgh, PA 15213 USA.</t>
  </si>
  <si>
    <t>da1v@ri.cmu.edu</t>
  </si>
  <si>
    <t>0278-3649</t>
  </si>
  <si>
    <t>1741-3176</t>
  </si>
  <si>
    <t>INT J ROBOT RES</t>
  </si>
  <si>
    <t>Int. J. Robot. Res.</t>
  </si>
  <si>
    <t>10.1177/02783640022067940</t>
  </si>
  <si>
    <t>Robotics</t>
  </si>
  <si>
    <t>366EW</t>
  </si>
  <si>
    <t>WOS:000089992700004</t>
  </si>
  <si>
    <t>Rodger, AS; Jarvis, MJ</t>
  </si>
  <si>
    <t>Ionospheric research 50 years ago, today and tomorrow</t>
  </si>
  <si>
    <t>ionospheric research; F-region storms; plasma irregularities; long term change</t>
  </si>
  <si>
    <t>LATITUDE F-REGION; THERMOSPHERIC NEUTRAL WINDS; HIGH TIME RESOLUTION; LONG-TERM DECREASE; MAGNETIC-FIELD; ELECTRON-CONCENTRATION; MST RADAR; CONVECTION; IRREGULARITIES; ATMOSPHERE</t>
  </si>
  <si>
    <t>Fifty years ago the processes responsible for the formation of the ionospheric layers were well established, Appleton, Bartels and Chapman having been in the vanguard of the exploration phase of ionospheric research. Routine observations were being carried out in some locations, but in other areas, such as Antarctica, the first measurements were only being undertaken. Thus, a global perspective of the ionosphere was still emerging. In the intervening years, there have been many very significant findings. Energy from the atmosphere both above and below the ionosphere has been shown to have a major influence its structure and dynamics. Winds up to 1 km s(-1) blow at F-region altitudes and the solar wind imposes a cross-polar cap potential &gt; 100 kV on the ionosphere when the interplanetary magnetic field has a strong southward component. The ionosphere itself is not simply a passive window on atmospheric and plasma processes. It is the major source of plasma for the magnetosphere, and its lower boundary is critical in the reflection of planetary waves back into the stratosphere and troposphere. Evolving technology has made a vast improvement in our ability to observe and model the ionosphere; same key developments are summarised. The paper also provides a few illustrations of the topics studied over the last 50 yr, namely F-region storms, plasma irregularities and long-term changes. Although the climatology of the ionosphere is well understood and can be modelled successfully, predicting the ionospheric weather accurately is not yet possible. The paper concludes by identifying some key topics where further understanding will be essential if reliable modelling and forecasting are to be achieved. (C) 2000 Elsevier Science Ltd. All rights reserved.</t>
  </si>
  <si>
    <t>British Antarctic Survey, Madingley Rd, Cambridge CB3 0ET, England.</t>
  </si>
  <si>
    <t>a.rodger@bas.ac.uk</t>
  </si>
  <si>
    <t>1879-1824</t>
  </si>
  <si>
    <t>17-18</t>
  </si>
  <si>
    <t>10.1016/S1364-6826(00)00116-4</t>
  </si>
  <si>
    <t>394XX</t>
  </si>
  <si>
    <t>WOS:000166550600007</t>
  </si>
  <si>
    <t>Convey, P; Smith, RIL; Hodgson, DA; Peat, HJ</t>
  </si>
  <si>
    <t>The flora of the South Sandwich Islands, with particular reference to the influence of geothermal heating</t>
  </si>
  <si>
    <t>Antarctica; bryophyte; colonization; diatom; distribution; geothermally heated ground; isolation; lichen</t>
  </si>
  <si>
    <t>SIGNY ISLAND; GENUS; VEGETATION; FUMAROLES; FAUNA</t>
  </si>
  <si>
    <t>Aim To carry out as comprehensive a survey as practicable of the flora (higher plants, mosses, liverworts, lichens, basidiomycete fungi and diatoms) of the isolated, volcanically active, South Sandwich Islands archipelago in the southern South Atlantic. To relate the components of this flora to (1) the influence of local geothermal heating and (2) wider regional floras. Location South Sandwich Islands, southern South Atlantic Ocean, maritime Antarctic (56-60 degrees S, 26-28 degrees W). Methods Ice-free accessible sites on all 11 of the major islands in the archipelago were visited by helicopter in January 1997. During each visit, voucher specimens of each floral group were collected. The comprehensiveness of collections obtained at each site varied with the duration of each visit (a function of tight logistic constraints) and extent of site, Visit duration varied from 1 to 9 h at most sites, with longer periods spent on Bellingshausen Island (2 days) and Leskov Island (1 day). Candlemas Island was examined in greater detail over a 4-week period in February 1997. At all sites, particular attention was given to areas influenced by geothermal heating. Results Data obtained in 1997 are combined with updated records from the only previous survey (in 1964) to provide a baseline description of the flora of the archipelago, which currently includes 1 phanerogam, 38 mosses, 11 liverworts, 5 basidiomycete fungi, 41 lichenised fungi and 16 diatoms with, additionally, several taxa identified only to genus. Major elements of the moss and liverwort floras are composed of South American taxa (32% and 73%, respectively), with a further 45% of mosses having bipolar or cosmopolitan distributions. These two groups show low levels of Antarctic endemicity (11% and 18%, respectively). In contrast, 52% of lichens and 80% of basidiomycete fungi are endemic to the Antarctic. A further 36% of lichens are bipolar/cosmopolitan, with only 5% of South American origin. Main Conclusions The flora of the South Sandwich Islands is clearly derived from those of other Antarctic zones. The flora of unheated ground is closely related to that of the maritime Antarctic, although with a very limited number of species represented. That of heated ground contains both maritime and sub-Antarctic elements, confirming the importance of geothermal heating for successful colonisation of the latter group. The occurrence of several maritime Antarctic species only on heated ground confirms the extreme severity of the archipelago's climate in comparison with well-studied sites much further south in this biogeographical zone.</t>
  </si>
  <si>
    <t>10.1046/j.1365-2699.2000.00512.x</t>
  </si>
  <si>
    <t>424WL</t>
  </si>
  <si>
    <t>WOS:000168256900003</t>
  </si>
  <si>
    <t>van den Broeke, MR</t>
  </si>
  <si>
    <t>On the interpretation of Antarctic temperature trends</t>
  </si>
  <si>
    <t>SOUTHERN SEMIANNUAL OSCILLATION; SEA-ICE-EXTENT; CLIMATE-CHANGE; ANNUAL CYCLE; VARIABILITY; PENINSULA; HEMISPHERE; IMPACTS; OCEAN</t>
  </si>
  <si>
    <t>Determining the rare of atmospheric warming in Antarctica is hampered by the brevity of the temperature records (&lt;50 years), which still contain signals of decadal circulation variability in the Southern Hemisphere. In this note it is demonstrated that Antarctic warming trends have been regionally modified by slow circulation changes and associated changes in sea-ice cover: decadal weakening of the semiannual oscillation since the mid-1970s has limited the meridional heat exchange between Antarctica and its surroundings, so that warming trends have leveled out since then. In contrast, northerly circulation anomalies in combination with decreased sea-ice cover have regionally enhanced low-level warming, for instance in the region of the Antarctic Peninsula. Based on this knowledge, the authors propose a background Antarctic warming trend of 1.30 +/- 0.38C (century)(-1), representative of the period 1957-95.</t>
  </si>
  <si>
    <t>van den Broeke, MR (corresponding author), Univ Utrecht, Inst Marine &amp; Atmospher Res, POB 80005, NL-3508 TA Utrecht, Netherlands.</t>
  </si>
  <si>
    <t>Van den Broeke, Michiel R./F-7867-2011</t>
  </si>
  <si>
    <t>Van den Broeke, Michiel R./0000-0003-4662-7565</t>
  </si>
  <si>
    <t>10.1175/1520-0442(2000)013&lt;3885:OTIOAT&gt;2.0.CO;2</t>
  </si>
  <si>
    <t>373EP</t>
  </si>
  <si>
    <t>WOS:000165275700011</t>
  </si>
  <si>
    <t>Olsson, HI; Yee, N; Shiels, HA; Brauner, C; Farrell, AP</t>
  </si>
  <si>
    <t>A comparison of myocardial ß-adrenoreceptor density and ligand binding affinity among selected teleost fishes</t>
  </si>
  <si>
    <t>JOURNAL OF COMPARATIVE PHYSIOLOGY B-BIOCHEMICAL SYSTEMIC AND ENVIRONMENTAL PHYSIOLOGY</t>
  </si>
  <si>
    <t>heart; ss-adrenoceptors; temperature; fish; interspecific</t>
  </si>
  <si>
    <t>BETA-ADRENERGIC RECEPTORS; TROUT ONCORHYNCHUS-MYKISS; RAINBOW-TROUT; CARDIAC-PERFORMANCE; HEART; HYPOXIA; TEMPERATURE; ACIDOSIS</t>
  </si>
  <si>
    <t>This study quantified the cell surface beta -adrenoreceptor density and ligand binding affinity in the ventricular tissue of seven teleost species; skipjack tuna (Katsowonus pelamis), yellowfin tuna (Thunnus albacares). Pacific mackerel (Scomber japonicus), mahimahi (dolphin fish; Coryphaena hippurus), sockeye salmon (Oncorhynchus nerka), rainbow trout (Oncorhynchus ml kiss) and an Antarctic nototheniid (Trematomus bernacchiii). beta -Adrenoreceptor density varied by almost fourfold among these species, being highest for the athletic fish: sockeye salmon among the salmonids and skipjack tuna among the scombrids. beta -Adrenoreceptor density was lowest for the Antarctic icefish. beta -Adrenoreceptor binding affinity varied by almost threefold. We conclude that there is a significant species-specific variability in myocardial beta -adrenoreceptor density and binding affinity and these interspecific differences cannot be attributed to temperature even though intraspecifically cold temperature can stimulate an increase in myocardial beta -adrenoreceptor density. Instead, we suggest that interspecifically myocardial beta -adrenoreceptor density is highest in fish that inhabit tropical water.</t>
  </si>
  <si>
    <t>Simon Fraser Univ, Burnaby, BC V5A 1S6, Canada; Univ Gothenburg, Dept Zoophysiol, Gothenburg, Sweden; McMaster Univ, Dept Biol, Hamilton, ON L8S 4K1, Canada</t>
  </si>
  <si>
    <t>Simon Fraser University; University of Gothenburg; McMaster University</t>
  </si>
  <si>
    <t>Farrell, AP (corresponding author), Simon Fraser Univ, Burnaby, BC V5A 1S6, Canada.</t>
  </si>
  <si>
    <t>Shiels, Holly Alice/0000-0001-5223-5205</t>
  </si>
  <si>
    <t>10.1007/s003600000133</t>
  </si>
  <si>
    <t>375ZX</t>
  </si>
  <si>
    <t>WOS:000165434300009</t>
  </si>
  <si>
    <t>McArthur, JM; Crame, JA; Thirlwall, MF</t>
  </si>
  <si>
    <t>Definition of Late Cretaceous stage boundaries in Antarctica using strontium isotope stratigraphy</t>
  </si>
  <si>
    <t>JAMES-ROSS-ISLAND; INTERCONTINENTAL CORRELATION; NUMERICAL CALIBRATION; SR; PENINSULA; CURVE; EVOLUTION; EVENTS; BASIN; AREA</t>
  </si>
  <si>
    <t>New (87)Sr/(86)Sr analyses of macrofossils from 13 key marker horizons on lames Ross and Vega Islands, Antarctica, allow the integration of the Antarctic Late Cretaceous succession into the standard biostratigraphic zonation schemes of the Northern Hemisphere. The (87)Sr/(86)Sr data enable Late Cretaceous stage boundaries to be physically located with accuracy for the first time in a composite Southern Hemisphere reference section and so make the area one of global importance for documenting Late Cretaceous biotic evolution, particularly radiation and extinction events. The (87)Sr/(86)Sr values allow the stage boundaries of the Turonian/Coniacian, Coniacian/Santonian, Santonian/Campanian, and Campanian/Maastrichtian, as well as other levels, to be correlated with both the United Kingdom and United States. These correlations show that current stratigraphic ages in Antarctica are too young by as much as a stage. immediate implications of our new ages include the fact that Inoceramus madagascariensis, a useful fossil for regional austral correlation, is shown to he Turonian (probably Late Turonian) in age; the Mytiloides africanus species complex is exclusively Late Coniacian in age; both Baculites bailyi and Inoceramus ci. expansus have a Late Coniacian/Early Santonian age range an important heteromorph ammonite assemblage comprising species of Eubostry-choceras, Pseudoxybeloceras, Ainoceras, and Ryugasella is confirmed as ranging from latest Coniacian to very earliest Campanian. An important new early angiosperm flora is shown to be unequivocally Coniacian in age. Our strontium isotopic recalibration of ages strengthens the suggestion that inoceramid bivalves became extinct at southern high latitudes much earlier than they did in the Northern Hemisphere and provides confirmation that, in Antarctica, belemnites did not persist beyond the: Early Maastrichtian.</t>
  </si>
  <si>
    <t>UCL, Dept Geol Sci, London WC1E 6BT, England; British Antarctic Survey, Cambridge CB3 0ET, England; Univ London, Royal Holloway &amp; Bedford New Coll, Dept Geol, Egham TW20 0EX, Surrey, England</t>
  </si>
  <si>
    <t>University of London; University College London; UK Research &amp; Innovation (UKRI); Natural Environment Research Council (NERC); NERC British Antarctic Survey; University of London; Royal Holloway University London</t>
  </si>
  <si>
    <t>McArthur, JM (corresponding author), UCL, Dept Geol Sci, Gower St, London WC1E 6BT, England.</t>
  </si>
  <si>
    <t>j.mcarthur@ucl.ac.uk</t>
  </si>
  <si>
    <t>McArthur, John/AAL-6354-2020; McArthur, John/C-2705-2008</t>
  </si>
  <si>
    <t>McArthur, John/0000-0003-1461-7805; McArthur, John/0000-0003-1461-7805</t>
  </si>
  <si>
    <t>10.1086/317952</t>
  </si>
  <si>
    <t>368FJ</t>
  </si>
  <si>
    <t>WOS:000090106800001</t>
  </si>
  <si>
    <t>Wombacher, F; Münker, C</t>
  </si>
  <si>
    <t>Pb, Nd, and Sr isotopes and REE systematics of Cambrian sediments from New Zealand:: Implications for the reconstruction of the Early Paleozoic Gondwana margin along Australia and Antarctica</t>
  </si>
  <si>
    <t>LACHLAN FOLD BELT; NORTHERN VICTORIA LAND; FAN-TYPE DEPOSIT; SOUTHEASTERN AUSTRALIA; SM-ND; ION MICROPROBE; ZIRCON AGES; TECTONIC IMPLICATIONS; PETROGENETIC MODELS; PACIFIC MARGIN</t>
  </si>
  <si>
    <t>The Takaka Terrane of New Zealand's South Island contains a Middle to early Late Cambrian intraoceanic island are assemblage that consists of the terrigeneous to volcanogenic Haupiri Group sediments and the predominantly mafic Devil River Volcanics. ph, Nd, and Sr isotopes, and major and trace element data are presented here for the Haupiri Group sediments. These data have implications for (1) the stratigraphy of the Takaka Terrane, (2) the reconstruction of the Cambrian Gondwana margin along Australia/Antarctica, and (3) geochemical and isotope provenance studies in general. NJ. isotopes, Th/Sc, and rare earth elements (REE) show that the volcaniclastic components in the Haupiri Group, sediments reflect the concomitant island are and back-are volcanism. These sediments can probably be linked with the Early Cambrian Kanmantoo Group and Ordovician Lachlan Fold Belt sediments in SE Australia. To explain the Nd isotope compositions, published detrital zircon populations, and paleocurrent data, an Antarctic source with Grenvillian and Ross-Delamerian age granitoids, as well as a significant portion of reprocessed Paleo-proterozoic and/or Archean crust, is required. We adopt a bipolar subduction model for the Cambrian Gondwana margin along Australia/Antarctica and support the previous suggestion that the Cambrian are assemblages of the Takaka Terrane of New Zealand and the Antarctic Bowers Terrane belong to the same are system with a paleogeographical position offshore the Antarctic continent.</t>
  </si>
  <si>
    <t>Inst Geol &amp; Dynam Lithosphare, D-37077 Gottingen, Germany; Inst Geochem, D-37077 Gottingen, Germany</t>
  </si>
  <si>
    <t>Wombacher, F (corresponding author), Inst Mineral, Corrensstr 24, D-48149 Munster, Germany.</t>
  </si>
  <si>
    <t>fwombac@nwz.uni-muenster.de</t>
  </si>
  <si>
    <t>Munker, Carsten/O-7606-2015; Wombacher, Frank/L-9552-2019</t>
  </si>
  <si>
    <t>Wombacher, Frank/0000-0002-0755-8918; Munker, Carsten/0000-0001-6406-559X</t>
  </si>
  <si>
    <t>1537-5269</t>
  </si>
  <si>
    <t>10.1086/317950</t>
  </si>
  <si>
    <t>WOS:000090106800003</t>
  </si>
  <si>
    <t>Wroe, S; Ebach, M; Ahyong, S; de Muizon, C; Muirhead, J</t>
  </si>
  <si>
    <t>Cladistic analysis of dasyuromorphian (Marsupialia) phylogeny using cranial and dental characters</t>
  </si>
  <si>
    <t>JOURNAL OF MAMMALOGY</t>
  </si>
  <si>
    <t>Ameridelphia; Australidelphia; Dasyuridae; Dasyuromorphia; Badjcinus; Barinya; fossil; Myrmecobiidae; phylogeny; Thylacinidae</t>
  </si>
  <si>
    <t>DNA-HYBRIDIZATION; RIVERSLEIGH; THYLACINID; AUSTRALIA; MIOCENE; MAMMALS; LIMITS</t>
  </si>
  <si>
    <t>Dasyuromorphian relationships were investigated using cladistic analysis for 24 species using 77 cranial and dental features. Among the 7 extinct taxa used were 6 recently described fossil species, each well represented by cranial and dental material (3 ameridelphians, 1 peramelemorphian, and 2 dasyuromorphians), Monophyly for the Dasyuromorphia and several clades widely recognized therein is supported, but in many instances, relationships among extant dasyurids departs greatly from general consensus. Where congruence with previous investigations is evident, few taxa are united by unique synapomorphies within Marsupialia. Many clades are united by combinations of locally derived features only. Bootstrap and Bremer support is weak for most clades. Thus, although supported by cladistic analysis, the status of many synapomorphies identified in the course of this study are tentative. However, for some groups, notably Dasyuridae and a dasyurid clade inclusive of all modern subfamilies, the synapomorphic nature of some derived features appears to be robust, even where they also are present in some outgroup taxa, This argument applies to shared apomorphies of the basicranium in particular. No potential sister taxon to Dasyuromorphia is favored. The case for australidelphian and microbiotheriid affinity of some American and Antarctic fossil taxa was considered to be highly equivocal.</t>
  </si>
  <si>
    <t>Univ Sydney, Inst Wildlife Res, Sydney, NSW 2006, Australia; Australian Museum, Mammal Sect, Ctr Res Evolut Australias Terr Ecosyst, Sydney, NSW 2000, Australia; Univ New S Wales, Sch Biol Sci, Vertebrate Palaeontol Lab, Sydney, NSW 2052, Australia; Western Australian Museum, Perth, WA 6000, Australia; Museum Natl Hist Nat, Lab Paleontol, F-75005 Paris, France</t>
  </si>
  <si>
    <t>University of Sydney; Australian Museum; University of New South Wales Sydney; Western Australian Museum; Museum National d'Histoire Naturelle (MNHN)</t>
  </si>
  <si>
    <t>Univ Sydney, Inst Wildlife Res, A08, Sydney, NSW 2006, Australia.</t>
  </si>
  <si>
    <t>s.wroe@unsw.edu.au</t>
  </si>
  <si>
    <t>De Muizon, Christian/Q-7986-2019; Wroe, Stephen/A-4462-2010; Ebach, Malte/D-8274-2016</t>
  </si>
  <si>
    <t>De Muizon, Christian/0000-0002-1247-8867; Wroe, Stephen/0000-0002-6365-5915; Ahyong, Shane/0000-0002-2820-4158; Ebach, Malte/0000-0002-9594-9010</t>
  </si>
  <si>
    <t>0022-2372</t>
  </si>
  <si>
    <t>1545-1542</t>
  </si>
  <si>
    <t>J MAMMAL</t>
  </si>
  <si>
    <t>J. Mammal.</t>
  </si>
  <si>
    <t>10.1644/1545-1542(2000)081&lt;1008:CAODMP&gt;2.0.CO;2</t>
  </si>
  <si>
    <t>379JA</t>
  </si>
  <si>
    <t>WOS:000165637900010</t>
  </si>
  <si>
    <t>Ellis, SL; Bowen, WD; Boness, DJ; Iverson, SJ</t>
  </si>
  <si>
    <t>Maternal effects on offspring mass and stage of development at birth in the harbor seal, Phoca vitulina</t>
  </si>
  <si>
    <t>birth date; birth mass; harbor seal; maternal age; maternal mass; Phoca vitulina</t>
  </si>
  <si>
    <t>SOUTHERN ELEPHANT SEALS; LIFE-HISTORY CONSEQUENCES; ANTARCTIC FUR SEALS; REPRODUCTIVE SUCCESS; PUP GROWTH; AGE; ENERGY; SIZE; PERFORMANCE; PARTURITION</t>
  </si>
  <si>
    <t>We studied effects of maternal age, body mass, and parturition date on birth mass and stage of development at birth in harbor seals (Phoca vitulina) on Sable Island, Nova Scotia, over a 10-year period, As predicted, effects of maternal mass and age on pup traits varied with maternal age. Premature pups, characterized by extensive fetal pelage termed lanugo, weighed 20% less than newborns without lanugo and were born early in the season to low-body-mass females 4-6 years of age, Among intermediate-age females (7-10 years old), percentage of lanugo on pups was correlated negatively with female postpartum body mass but not with female age. Thus, maternal condition rather than age had stronger effects on stage of development of offspring at birth. Overall, maternal age explained 54% of the variance in birth mass, whereas postpartum mass of females explained only 20% of the variance. These relationships did not differ with sex of the pup, although male pups were 3.7% heavier than female pups. Effects of maternal age were strongest among young females; however; reproductive parity was more important than age itself in determining offspring birth mass.</t>
  </si>
  <si>
    <t>Fisheries &amp; Oceans Canada, Bedford Inst Oceanog, Marine Fish Div, Dartmouth, NS B2Y 4A2, Canada; Dalhousie Univ, Dept Biol, Halifax, NS B3H 4J1, Canada; Smithsonian Inst, Natl Zool Pk, Dept Zool Res, Washington, DC 20008 USA</t>
  </si>
  <si>
    <t>Bedford Institute of Oceanography; Fisheries &amp; Oceans Canada; Dalhousie University; Smithsonian Institution; Smithsonian National Zoological Park &amp; Conservation Biology Institute</t>
  </si>
  <si>
    <t>Fisheries &amp; Oceans Canada, Bedford Inst Oceanog, Marine Fish Div, POB 1006, Dartmouth, NS B2Y 4A2, Canada.</t>
  </si>
  <si>
    <t>bowend@mar.dfo-mpo.gc.ca</t>
  </si>
  <si>
    <t>Bowen, William D/D-2758-2012; Bowen, William/AAE-7204-2022</t>
  </si>
  <si>
    <t>Bowen, William/0000-0001-8334-5677; Iverson, Sara/0000-0003-2842-4094</t>
  </si>
  <si>
    <t>10.1644/1545-1542(2000)081&lt;1143:MEOOMA&gt;2.0.CO;2</t>
  </si>
  <si>
    <t>WOS:000165637900023</t>
  </si>
  <si>
    <t>Ferron, B; Mercier, H; Treguier, AM</t>
  </si>
  <si>
    <t>Modeling of the bottom water flow through the Romanche Fracture Zone with a primitive equation model - Part I: Dynamics</t>
  </si>
  <si>
    <t>JOURNAL OF MARINE RESEARCH</t>
  </si>
  <si>
    <t>CIRCULATION MODEL; HYDRAULIC CONTROL; ATLANTIC-OCEAN; STRAIT; GIBRALTAR; SILL; CHANNEL; FLUID</t>
  </si>
  <si>
    <t>This paper investigates the dynamics of the Antarctic Bottom Water (AABW) flow through the Romanche Fracture Zone (RFZ) in a primitive equation model with a high horizontal and vertical resolution. Two examples of Rows over simple bathymetries show that a reduced gravity model captures the essential dynamics of the primitive equation model. The reduced gravity model is then used as a tool to identify what are the bathymetric structures (sills, narrows) that mostly constrain the AABW flow through the RFZ. When only these structures are represented in the primitive equation model, the AABW how is shown to be coherent with observations (transports, density and velocity structures).</t>
  </si>
  <si>
    <t>IFREMER, Lab Phys Oceans, F-29280 Plouzane, France</t>
  </si>
  <si>
    <t>Universite de Bretagne Occidentale; Centre National de la Recherche Scientifique (CNRS); Ifremer; Institut de Recherche pour le Developpement (IRD)</t>
  </si>
  <si>
    <t>Ferron, B (corresponding author), IFREMER, Lab Phys Oceans, BP 70, F-29280 Plouzane, France.</t>
  </si>
  <si>
    <t>FERRON, Bruno/JCE-4144-2023; Treguier, Anne Marie/B-7497-2009; FERRON, Bruno/L-5649-2015; MERCIER, Herle/L-4161-2015</t>
  </si>
  <si>
    <t>FERRON, Bruno/0000-0002-2107-0900; Treguier, Anne Marie/0000-0003-4569-845X; MERCIER, Herle/0000-0002-1940-617X</t>
  </si>
  <si>
    <t>KLINE GEOLOGY LABORATORY</t>
  </si>
  <si>
    <t>NEW HAVEN</t>
  </si>
  <si>
    <t>YALE UNIV, NEW HAVEN, CT 06520-8109 USA</t>
  </si>
  <si>
    <t>0022-2402</t>
  </si>
  <si>
    <t>J MAR RES</t>
  </si>
  <si>
    <t>J. Mar. Res.</t>
  </si>
  <si>
    <t>10.1357/002224000763485728</t>
  </si>
  <si>
    <t>400MQ</t>
  </si>
  <si>
    <t>WOS:000166875900001</t>
  </si>
  <si>
    <t>Wienders, N; Arhan, M; Mercier, H</t>
  </si>
  <si>
    <t>Circulation at the western boundary of the South and Equatorial Atlantic: Exchanges with the ocean interior</t>
  </si>
  <si>
    <t>ANTARCTIC BOTTOM WATER; NORTH BRAZIL CURRENT; INTERMEDIATE WATER; GEOSTROPHIC TRANSPORT; TROPICAL ATLANTIC; UPPER-LAYER; DEEP-WATER; VARIABILITY; BASIN; FLOW</t>
  </si>
  <si>
    <t>Data from a hydrographic section carried out in January-March 1994 offshore from the eastern coast of South America from 50S to 10N, are used to quantify the full-depth exchanges of water between the western boundary currents and the ocean interior. In the upper and intermediate layers, the westward transport associated with the southern branch of the South Equatorial Current was 49 Sv at the time of the cruise. The transports of the central and northern branches in the upper 200 m were 17 Sv and 12 Sv, respectively. After subtraction of the parts that recirculate in the subtropical, subequatorial, and equatorial domains, the fraction of the South Equatorial Current that effectively contributes to the warm water export to the North Atlantic is estimated at 18 Sv. The poleward boundary of the current southern branch is at 31S through the whole thickness of the subtropical gyre, but the latitude of the northern boundary varies from 7 degrees 30'S at the surface to 27S at 1400 m depth. The estimated latitude of its bifurcation into the Brazil Current and North Brazil Undercurrent also varies downward from about 14S at the surface to 28S at a depth of 600 m. In the North Atlantic Deep Water, eastward flows exceeding 10 Sv are observed at 3 degrees -4 degrees of latitude in both hemispheres, at 10S, and at 34S-30S. Between 4S and 17S, a net westward flow with an estimated transport of 19 Sv reinforces the southward deep western boundary current. Cyclonic circulations of Antarctic Bottom Water along the western boundaries of the Argentine and Brazil basins have amplitudes of 15 Sv and 13 Sv, respectively, exceeding those of the interbasin exchanges. The net alongshore transport of this water mass between the hydrographic section and the continental slope reverses to a southward direction from 13S to 27S, probably in relation with an eastward shift of the equatorward near-bottom boundary current at these latitudes.</t>
  </si>
  <si>
    <t>IFREMER, Ctr Brest, Lab Phys Oceans, F-29280 Plouzane, France</t>
  </si>
  <si>
    <t>Centre National de la Recherche Scientifique (CNRS); Ifremer; Institut de Recherche pour le Developpement (IRD); Universite de Bretagne Occidentale</t>
  </si>
  <si>
    <t>Wienders, N (corresponding author), IFREMER, Ctr Brest, Lab Phys Oceans, BP 70, F-29280 Plouzane, France.</t>
  </si>
  <si>
    <t>MERCIER, Herle/L-4161-2015</t>
  </si>
  <si>
    <t>MERCIER, Herle/0000-0002-1940-617X</t>
  </si>
  <si>
    <t>10.1357/002224000763485782</t>
  </si>
  <si>
    <t>WOS:000166875900007</t>
  </si>
  <si>
    <t>Fox, AD; Haines, K; de Cuevas, BA; Webb, DJ</t>
  </si>
  <si>
    <t>Altimeter assimilation in the OCCAM global model - Part I: A twin experiment</t>
  </si>
  <si>
    <t>global ocean; modelling; altimetry; data assimilation</t>
  </si>
  <si>
    <t>GENERAL-CIRCULATION MODEL; INDIAN OCEANS THROUGHFLOW; QUASI-GEOSTROPHIC MODEL; EXTENDED KALMAN FILTER; GULF-STREAM MODEL; OCEANOGRAPHY; TRANSPORT; ADVECTION; REGION</t>
  </si>
  <si>
    <t>An altimeter data assimilation scheme has been tested in the OCCAM (Ocean Circulation and Climate Advanced Modelling) global 1/4 degrees, 36-level model using a twin experiment format. The Cooper and Haines displacement scheme is used. The method works well in most regions and depths. Currents and densities in the top 1000 m generally improve by over 50-70% after 5 months of sea level assimilation every 15 days. Below 1000 m, an error reduction of up to 50% is achieved. The errors remain low during a further 60-day run without assimilation. Diagnostics for the North Atlantic, the Tropical Pacific and the Antarctic Circumpolar Current are shown alongside the global averages. The main problems encountered were in weakly stratified regions of the Antarctic and Arctic seas. A scale selective filter is developed to avoid assimilating scales much larger than the local deformation radius, and this avoids the adverse assimilation effects in the southern oceans. A companion paper uses this scheme to assimilate TOPEX and ERS-1 altimeter maps. (C) 2000 Elsevier Science B.V. All rights reserved.</t>
  </si>
  <si>
    <t>Univ Edinburgh, Dept Meteorol, Edinburgh EH9 3JZ, Midlothian, Scotland; Southampton Oceanog Ctr, Southampton SO14 3ZH, Hants, England</t>
  </si>
  <si>
    <t>University of Edinburgh; University of Southampton; NERC National Oceanography Centre</t>
  </si>
  <si>
    <t>Fox, AD (corresponding author), Univ Edinburgh, Dept Meteorol, JC Maxwell Bldg,Mayfield Rd, Edinburgh EH9 3JZ, Midlothian, Scotland.</t>
  </si>
  <si>
    <t>Fox, Alan David/GPS-5041-2022</t>
  </si>
  <si>
    <t>Fox, Alan David/0000-0002-9047-1986; Haines, Keith/0000-0003-2768-2374</t>
  </si>
  <si>
    <t>10.1016/S0924-7963(00)00043-9</t>
  </si>
  <si>
    <t>376NF</t>
  </si>
  <si>
    <t>WOS:000165463100004</t>
  </si>
  <si>
    <t>Altimeter assimilation in the OCCAM global model - Part II: TOPEX/POSEIDON and ERS-1 assimilation</t>
  </si>
  <si>
    <t>altimetry assimilation; model errors; hydrographic data; WOCE</t>
  </si>
  <si>
    <t>QUASI-GEOSTROPHIC MODEL; NORTH-ATLANTIC; OCEAN MODEL</t>
  </si>
  <si>
    <t>Maps of combined TOPEX/POSEIDON (T/P) and ERS-1 altimeter sea level anomalies for 1993 are assimilated every 10 days into a high resolution global ocean model, OCCAM. The assimilated mean sea level is based on the model simulation, but modified in the: Kuroshio and Gulf Stream based on a dynamic sea level from climatological hydrographic data. Sea level updates are accompanied by Vertical thermocline displacement and geostrophic current adjustments away from the equator. Sea level errors were used to weight the sea level updates, with the model forecast errors calculated at low spatial resolution using an adaptive method based on the work of Dee [Dee, D.P., 1995. On-Line estimation of error covariance parameters for atmospheric data assimilation, Mon. Wea. Rev. 123, pp. 1128-1145]. The modified mean sea levels are very successful at deflecting the western boundary currents to more realistic separation points which results in better surface temperature fronts and diagnosed air-sea heat fluxes, based on temperature relaxation. The altimeter anomalies are successfully assimilated and the model is able to propagate these between assimilation times, although with some degradation and damping of the smaller scale features. Predictions of sea level changes over 10-, 20-and 40-day periods are better than the corresponding persistence forecasts except for the Antarctic Circumpolar Current area where there is little difference. AVHRR and subsurface hydrographic and ADCP current data from WOCE cruises were used for validation, and the model run with altimeter assimilation shows significantly better agreement with these independent data sets than the model simulation, for all areas away from the equator. (C) 2000 Elsevier Science B.V. All rights reserved.</t>
  </si>
  <si>
    <t>10.1016/S0924-7963(00)00044-0</t>
  </si>
  <si>
    <t>WOS:000165463100005</t>
  </si>
  <si>
    <t>McPhee, MG</t>
  </si>
  <si>
    <t>Marginal thermobaric stability in the ice-covered upper ocean over Maud Rise</t>
  </si>
  <si>
    <t>DEEP CONVECTION; WEDDELL SEA; NUMERICAL EXPERIMENTS; BOUNDARY-LAYER; WINTER; FLUX</t>
  </si>
  <si>
    <t>Temperature (T) and salinity (S) profiles from the central Weddell Sea near the Maud Rise seamount measured during the 1994 Antarctic Zone Flux Experiment (ANZFLUX) have been analyzed for stability with respect to the thermobaricity, that is, the pressure dependence of thermal expansion rate. For many T-S profiles in the region Delta rho, the difference between actual density (including the pressure contribution) and density of a water column with uniform temperature and salinity equal to that of the mixed Layer, exhibits a maximum in the upper ocean within tens of meters of the mixed layer-pycnocline interface. Following work by K. Akitomo, if the mixed layer were to deepen and increase in density so that the Delta rho maximum coincided with the base of the mixed layer, the system would be thermobarically unstable and would overturn catastrophically Thermobaric convection differs from convection driven by surface buoyancy flux (cooling and/or freezing) because once started, the production of turbulent mixing energy is derived from the water column instead of the surface, an important distinction in ice-covered oceans. A stability criterion is developed that considers the total sensible heat and latent heat of freezing required to drive a given TS profile to thermobaric instability, and is mapped in the Maud Rise region. A simple upper-ocean model, combined with enthalpy conservation at the ice-water interface and driven by surface stress and ice heat conduction observed with a drifting buoy cluster left in place after the ANZFLUX manned drift stations, is used to assess the susceptibility of observed profiles to thermobaric instability as the winter advanced. In the model, roughly one quarter of the profiles become unstable by the end of August, and it is argued that this may account for extensive polynya-like features that appeared in satellite microwave imagery over Maud Rise in August 1994, shortly after completion of the ANZFLUX Maud Rise drift.</t>
  </si>
  <si>
    <t>McPhee Res Co, Naches, WA 98937 USA</t>
  </si>
  <si>
    <t>McPhee Res Co, 450 Clover Springs Rd, Naches, WA 98937 USA.</t>
  </si>
  <si>
    <t>miles@apl.washington.edu</t>
  </si>
  <si>
    <t>10.1175/1520-0485(2000)030&lt;2710:MTSITI&gt;2.0.CO;2</t>
  </si>
  <si>
    <t>378MQ</t>
  </si>
  <si>
    <t>WOS:000165588500005</t>
  </si>
  <si>
    <t>Vaughan, APM; Storey, BC</t>
  </si>
  <si>
    <t>The eastern Palmer Land shear zone: a new terrane accretion model for the Mesozoic development of the Antarctic Peninsula</t>
  </si>
  <si>
    <t>JOURNAL OF THE GEOLOGICAL SOCIETY</t>
  </si>
  <si>
    <t>Gondwana; Jurassic; suture; terrane; palaeobiogeography</t>
  </si>
  <si>
    <t>MEDIAN TECTONIC ZONE; NEW-ZEALAND; ALEXANDER-ISLAND; FORE-ARC; PACIFIC MARGIN; MAGMATIC ARC; SUSPECT TERRANES; PLATE BOUNDARY; MINERAL AGES; GRAHAM LAND</t>
  </si>
  <si>
    <t>A major ductile fault zone, the eastern Palmer Land shear zone, has been identified east of the spine of the southern Antarctic Peninsula. This shear zone separates newly identified geological domains, and indicates that during Late Jurassic terrane accretion and collision, two and possibly three separate terranes collided, resulting in the Palmer Land orogeny. The orogeny is best developed in eastern Palmer Land and eastern Ellsworth Land. There, shallow-marine sedimentary rocks of the Latady Formation, and a metamorphic and igneous basement complex of possible Lower Palaeozoic to pre-Early Jurassic age, are thrust and folded. This forms an arcuate, east-directed, foreland, fold and thrust belt up to 100 km wide and 750 km long, parallel to the axis of the Antarctic Peninsula. The newly identified Antarctic Peninsula domains include: (1) a parautochthonous Eastern Domain that represents part of the margin of the Gondwana continent, comparable to the Western Province of New Zealand, the Ross Province superterrane of Marie Byrd Land, the Eastern Series of south-central Chile, the Pampa de Agnia and Tepuel rocks of north Patagonia, and the Cordillera Darwin rocks of Tierra del Fuego, (2) a suspect Central Domain that represents an allochthonous, microcontinental, magmatic are terrane, comparable to the Median Tectonic Zone of New Zealand, the Amundsen Province superterrane of Marie Byrd Land, and Coastal Cordillera of north Chile and (3) a suspect Western Domain, with strong similarities to the Eastern Province of New Zealand, Western Series of south-central Chile, and Chonos metamorphic complex of north Patagonia, that represents either a subduction-accretion complex to the Central Domain, or another separate crustal fragment. Although an allochthonous terrane hypothesis for the Antarctic Peninsula remains to be fully tested, this has much in common with models for the New Zealand and South American parts of the Pacific margin of Gondwana. The identification of a potential allochthonous terrane-continent collision zone allows us to define the edge of the Gondwana continent in the Antarctic Peninsula sector of the supercontinent margin, which has implications for Mesozoic reconstructions of Gondwana.</t>
  </si>
  <si>
    <t>Vaughan, APM (corresponding author), British Antarctic Survey, High Cross,Madingley Rd, Cambridge CB3 0ET, England.</t>
  </si>
  <si>
    <t>Vaughan, Alan PM/B-7829-2010</t>
  </si>
  <si>
    <t>GEOLOGICAL SOC PUBL HOUSE</t>
  </si>
  <si>
    <t>BATH</t>
  </si>
  <si>
    <t>UNIT 7, BRASSMILL ENTERPRISE CENTRE, BRASSMILL LANE, BATH BA1 3JN, AVON, ENGLAND</t>
  </si>
  <si>
    <t>0016-7649</t>
  </si>
  <si>
    <t>J GEOL SOC LONDON</t>
  </si>
  <si>
    <t>J. Geol. Soc.</t>
  </si>
  <si>
    <t>10.1144/jgs.157.6.1243</t>
  </si>
  <si>
    <t>371MF</t>
  </si>
  <si>
    <t>WOS:000165182200016</t>
  </si>
  <si>
    <t>Ellwood, MJ; Hunter, KA</t>
  </si>
  <si>
    <t>The incorporation of zinc and iron into the frustule of the marine diatom Thalassiosira pseudonana</t>
  </si>
  <si>
    <t>LIMNOLOGY AND OCEANOGRAPHY</t>
  </si>
  <si>
    <t>NORTH PACIFIC; PHYTOPLANKTON; OCEAN; WATERS; GROWTH; SUBSTITUTION; DISSOLUTION; SEPARATION; LIMITATION; CADMIUM</t>
  </si>
  <si>
    <t>Zinc and iron uptake experiments were conducted with the marine diatom Thalassosira pseudonana, to investigate whether Zn and Fe are incorporated into the frustule of this diatom. Our results show that the uptake and deposition of Zn into opal has a sigmoidal relationship with the free Zn2+ concentration of the culture medium. The amount of Zn incorporated into the opal represents only 1-3% of the total amount of Zn taken up by the diatom; however, the exact reasons for Zn incorporation into the opal are not known. Even so, the consistent relationship between Zn levels in the opal and the culture medium suggests that fossil diatoms may be used as a recorder for historical changes in oceanic free Zn2+ concentrations. These results also demonstrate that the Zn:Si(OH)(4) relationship observed in the Pacific and Antarctic Oceans is not a result of Zn released from biogenic opal. Fe uptake experiments also revealed that Fe is incorporated into diatom opal; however, the amount incorporated appears to be regulated by the diatom and did not increase with increasing Fe concentration within the diatom culture medium. This therefore eliminates the use of Fe incorporated within diatom opal as a possible proxy for dissolved Fe concentrations.</t>
  </si>
  <si>
    <t>Univ Otago, Dept Chem, Dunedin, New Zealand</t>
  </si>
  <si>
    <t>Ellwood, MJ (corresponding author), Univ Otago, Dept Chem, POB 56, Dunedin, New Zealand.</t>
  </si>
  <si>
    <t>Ellwood, Michael J/G-7390-2011</t>
  </si>
  <si>
    <t>Ellwood, Michael/0000-0003-4288-8530</t>
  </si>
  <si>
    <t>AMER SOC LIMNOLOGY OCEANOGRAPHY</t>
  </si>
  <si>
    <t>WACO</t>
  </si>
  <si>
    <t>5400 BOSQUE BLVD, STE 680, WACO, TX 76710-4446 USA</t>
  </si>
  <si>
    <t>0024-3590</t>
  </si>
  <si>
    <t>LIMNOL OCEANOGR</t>
  </si>
  <si>
    <t>Limnol. Oceanogr.</t>
  </si>
  <si>
    <t>10.4319/lo.2000.45.7.1517</t>
  </si>
  <si>
    <t>Limnology; Oceanography</t>
  </si>
  <si>
    <t>Marine &amp; Freshwater Biology; Oceanography</t>
  </si>
  <si>
    <t>373AW</t>
  </si>
  <si>
    <t>WOS:000165267100006</t>
  </si>
  <si>
    <t>Garnacho, E; Peck, LS; Tyler, PA</t>
  </si>
  <si>
    <t>Variations between winter and summer in the toxicity of copper to a population of the mysid Praunus flexuosus</t>
  </si>
  <si>
    <t>HEAVY-METALS; CRUSTACEA; TEMPERATURE; SALINITY; BAHIA; ZINC</t>
  </si>
  <si>
    <t>Copper toxicity was tested on a coastal population of the mysid Praunus flexuosus (Muller) from Southampton Water (Southern England) under winter and summer conditions. Ten-day toxicity tests were performed on the different life-cycle stages (female, male and juvenile) present in winter (December/February) and summer (August). The individuals were in winter or summer physiological condition and were exposed to seawater to which 0, 5, 25, 75 and 200 mug 1(-1) copper was added. There were significantly different copper toxicity effects in winter and summer. In winter mortality was less than or equal to 1% at all levels of copper exposure, while in summer identical exposure levels caused mortality of up to 93%. The 96 h LC50 was 30.8 mug 1(-1) copper added in the summer. In winter, the low mortality prevented calculation of LC50 There were differences in responses to copper between the life-cycle stages. Juveniles were more sensitive than adults, and were severely affected within 24 h. Females were more affected than males at lower doses and shorter exposure times.</t>
  </si>
  <si>
    <t>Southampton Oceanog Ctr, Sch Ocean &amp; Earth Sci, Southampton SO14 3ZH, Hants, England; British Antarctic Survey, NERC, Cambridge CB3 9EU, England</t>
  </si>
  <si>
    <t>Southampton Oceanog Ctr, Sch Ocean &amp; Earth Sci, European Way, Southampton SO14 3ZH, Hants, England.</t>
  </si>
  <si>
    <t>pat8@soc.soton.ac.uk</t>
  </si>
  <si>
    <t>10.1007/s002270000383</t>
  </si>
  <si>
    <t>376CJ</t>
  </si>
  <si>
    <t>WOS:000165440400009</t>
  </si>
  <si>
    <t>Viale, A; Courseaux, A; Presse, F; Ortola, C; Breton, C; Jordan, D; Nahon, JL</t>
  </si>
  <si>
    <t>Structure and expression of the variant melanin-concentrating hormone genes:: Only PMCHL1 is transcribed in the developing human braid and encodes a putative protein</t>
  </si>
  <si>
    <t>MOLECULAR BIOLOGY AND EVOLUTION</t>
  </si>
  <si>
    <t>variant MCH gene; antisense RNA; human brain; human chromosome 5; expressed pseudogene; primate evolution</t>
  </si>
  <si>
    <t>ANTARCTIC NOTOTHENIOID FISH; SPINAL MUSCULAR-ATROPHY; MESSENGER-RNA; MULTIPLE-SCLEROSIS; RAT; REGION; EVOLUTION; CHROMOSOME-5; EFFICIENCY; SEQUENCES</t>
  </si>
  <si>
    <t>PMCHL1 and PMCNL2 are two copies of the so-called variant melanin-concentrating hormone (MCH) gene that are located, respectively, on human chromosome 5p14 and 5q13 and that emerged recently during primate evolution. They correspond to a 5'-end truncated version of the MCH gene mapped on chromosome 12q23 and encoding a neuropeptide precursor. The gene organization and regulation of the expression of the variant MCH genes in the human brain are the central issues we investigated. First, the structure and fine chromosomal mapping of the 5p and 5q variant MCH genes were established. These revealed several point mutations and length variations of one CA/TA repeat which allow discrimination between each copy. Using a combination of RACE-PCR, RT-PCR, and sequencing analysis, we provided strong evidence for the expression of the PMCHL1 gene but not the PMCHL2 gene in the human fetal, newborn, and adult brains. Sense, potentially coding, RNAs, as well as noncoding antisense RNAs, were identified and displayed a region-specific expression in the human brain. Strikingly, sense unspliced RNAs of the PMCHL1 gene carried a novel open reading frame and may produce an NLS-containing protein of 8 kDa named VMCH-p8. These transcripts were translated in vitro and in transfected COS cells. Therefore, the PMCHL1 gene provides a unique example of the generation of a gene in the Hominoidae lineage which is specifically transcribed in the developing human brain and has the capacity to be translated into a putative novel protein.</t>
  </si>
  <si>
    <t>CNRS, Inst Pharmacol Mol &amp; Cellulaire, UPR 411, F-06560 Valbonne, France; Fac Med Laennec, Lyon, France</t>
  </si>
  <si>
    <t>Centre National de la Recherche Scientifique (CNRS); Universite Cote d'Azur; Universite Claude Bernard Lyon 1</t>
  </si>
  <si>
    <t>Nahon, JL (corresponding author), CNRS, Inst Pharmacol Mol &amp; Cellulaire, UPR 411, 660 Route Lucioles, F-06560 Valbonne, France.</t>
  </si>
  <si>
    <t>PRESSE, Francoise/O-8508-2016; NAHON, Jean-Louis/AFC-9614-2022; NAHON, Jean-Louis/O-7977-2016</t>
  </si>
  <si>
    <t>NAHON, Jean-Louis/0000-0001-9572-7779</t>
  </si>
  <si>
    <t>SOC MOLECULAR BIOLOGY EVOLUTION</t>
  </si>
  <si>
    <t>PO BOX 1897, LAWRENCE, KS 66044-8897 USA</t>
  </si>
  <si>
    <t>0737-4038</t>
  </si>
  <si>
    <t>MOL BIOL EVOL</t>
  </si>
  <si>
    <t>Mol. Biol. Evol.</t>
  </si>
  <si>
    <t>10.1093/oxfordjournals.molbev.a026262</t>
  </si>
  <si>
    <t>Biochemistry &amp; Molecular Biology; Evolutionary Biology; Genetics &amp; Heredity</t>
  </si>
  <si>
    <t>371DP</t>
  </si>
  <si>
    <t>WOS:000165163000006</t>
  </si>
  <si>
    <t>Zernova, VV; Nöthig, EM; Shevchenko, VP</t>
  </si>
  <si>
    <t>Vertical microalga flux in the northern Laptev Sea (from the data collected by the yearlong sediment trap)</t>
  </si>
  <si>
    <t>OCEANOLOGY</t>
  </si>
  <si>
    <t>SEASONAL VARIABILITY; PARTICLE-FLUX; DIATOM; ALGAE</t>
  </si>
  <si>
    <t>First studies of the microalga flux over the Lomonosov Ridge in the northern Laptev Sea were carried out with a sediment trap at the yearlong mooring station LOMO-2, installed at a 150-m depth (81 degrees 04.3' N; 138 degrees 55.2' E, sea depth 1703 m) from September 15, 1995 to August 16, 1996. These studies demonstrated essential seasonal variation of the vertical microalga flux. It was shown that, in summer, a diverse flora (composed mainly of cryophylic diatoms) grows intensively beneath the permanent ice cover. Strongly pronounced seasonal variations of the microalga growth correlate closely with the solar radiation. Exactly during the maximum insolation period, from the middle of July until the end of September, the microalga flux is hundreds of times higher than that in the rest of the year. The summer values of the microalga flux over the Lomonosov Ridge in the northern Laptev Sea are similar to those in the Weddell Sea in the Antarctic and exceed the summer flux values in the Norwegian and Greenland Seas and in the St. Anna Trough (the northwestern Kara Sea).</t>
  </si>
  <si>
    <t>Russian Acad Sci, PP Shirshov Oceanol Inst, Moscow, Russia; Alfred Wegener Inst Polar &amp; Marine Res, D-2850 Bremerhaven, Germany</t>
  </si>
  <si>
    <t>Russian Academy of Sciences; Shirshov Institute of Oceanology; Helmholtz Association; Alfred Wegener Institute, Helmholtz Centre for Polar &amp; Marine Research</t>
  </si>
  <si>
    <t>Russian Acad Sci, PP Shirshov Oceanol Inst, Moscow, Russia.</t>
  </si>
  <si>
    <t>Nöthig, Eva-Maria/AAS-7253-2021; Shevchenko, Vladimir/C-2096-2014</t>
  </si>
  <si>
    <t>Shevchenko, Vladimir/0000-0002-9045-297X; Nothig, Eva-Maria/0000-0002-7527-7827</t>
  </si>
  <si>
    <t>0001-4370</t>
  </si>
  <si>
    <t>1531-8508</t>
  </si>
  <si>
    <t>OCEANOLOGY+</t>
  </si>
  <si>
    <t>Oceanology</t>
  </si>
  <si>
    <t>387JZ</t>
  </si>
  <si>
    <t>WOS:000166120600007</t>
  </si>
  <si>
    <t>Danesi, S; Morelli, A</t>
  </si>
  <si>
    <t>Group velocity of Rayleigh waves in the Antarctic region</t>
  </si>
  <si>
    <t>PHYSICS OF THE EARTH AND PLANETARY INTERIORS</t>
  </si>
  <si>
    <t>Symposium on Developments in Imaging and Seismic Tomography of the Lithosphere-Asthenosphere System</t>
  </si>
  <si>
    <t>APR, 1999</t>
  </si>
  <si>
    <t>THE HAGUE, NETHERLANDS</t>
  </si>
  <si>
    <t>Antarctica; surface waves; group velocity; seismic tomography</t>
  </si>
  <si>
    <t>SURFACE-WAVES; INVERSION</t>
  </si>
  <si>
    <t>We analyzed dispersion of intermediate and long period surface waves, recorded at permanent observatories in the Antarctic region, in a tomographic study based on group velocity. We considered Rayleigh waves from available records of all events which occurred during years 1991-1995, with latitude lower than 40 degreesS and magnitude M greater than or equal to 5.0. We performed classic single-station dispersion analysis on the surface wave train to measure group velocity of the Rayleigh fundamental mode in the period range between 30 and 120 s. We iteratively applied two different techniques of filter analysis: a multiple-filter [Dziewanski et al., 1969] and a phase-matched filter algorithm [Herrin, and Goforth, 1977]. We used such dispersion measurements to compute two-dimensional maps of velocity anomalies in the region. We parameterized group velocity with linear splines, and inverted the linear system by means of singular value decomposition. Results are in significant agreement with earlier studies, but reach a considerably higher detail. Our model differentiates well among geologically different regions, such as the old East Antarctica craton, the accreted terranes of West Antarctica, and the oceanic lithosphere surrounded by the ring of mid-ocean ridges. We image slow areas corresponding to hot-spot regions, including a broad anomaly corresponding to recent volcanism in the Ross Sea, where the existence of a mantle plume has been proposed. (C) 2000 Elsevier Science B.V. All rights reserved.</t>
  </si>
  <si>
    <t>Ist Nazl Geofis, I-00143 Rome, Italy</t>
  </si>
  <si>
    <t>Istituto Nazionale Geofisica e Vulcanologia (INGV)</t>
  </si>
  <si>
    <t>Danesi, S (corresponding author), Ist Nazl Geofis, I-00143 Rome, Italy.</t>
  </si>
  <si>
    <t>morelli, andrea/F-2486-2016; Danesi, Stefania/AAA-9000-2021</t>
  </si>
  <si>
    <t>Danesi, Stefania/0000-0002-7884-8242; Morelli, Andrea/0000-0002-7400-8676</t>
  </si>
  <si>
    <t>0031-9201</t>
  </si>
  <si>
    <t>PHYS EARTH PLANET IN</t>
  </si>
  <si>
    <t>Phys. Earth Planet. Inter.</t>
  </si>
  <si>
    <t>10.1016/S0031-9201(00)00186-2</t>
  </si>
  <si>
    <t>389HB</t>
  </si>
  <si>
    <t>WOS:000166231600005</t>
  </si>
  <si>
    <t>Hindell, MA; Lea, MA; Morrice, MG; MacMahon, CR</t>
  </si>
  <si>
    <t>Metabolic limits on dive duration and swimming speed in the southern elephant seal Mirounga leonina</t>
  </si>
  <si>
    <t>PHYSIOLOGICAL AND BIOCHEMICAL ZOOLOGY</t>
  </si>
  <si>
    <t>BOTTLE-NOSED DOLPHINS; TURSIOPS-TRUNCATUS; HEART-RATE; PHYSIOLOGY; BEHAVIOR; MAMMALS; DEPTH; TIME</t>
  </si>
  <si>
    <t>The ability of air-breathing marine predators to forage successfully depends on their ability to remain submerged. This is in turn related to their total O-2 stores and the rate at which these stores are used up while submerged. Body size was positively related to dive duration in a sample of 34 adult female southern elephant seals from Macquarie Island. However, there was no relationship between body size and dive depth. This indicates that smaller seals, with smaller total O-2 stores, make shorter dives than larger individuals but operate at similar depths, resulting in less time being spent at depth. Nine adult female elephant seals were also equipped with velocity time depth recorders. In eight of these seals, a plot of swimming speed against dive duration revealed a cloud of points with a clear upper boundary. This boundary could be described using regression analysis and gave a significant negative relationship in most cases. These results indicate that metabolic rate varies with activity levels, as indicated by swimming speed, and that there are quantifiable limits to the distance that a seal can travel on a dive of a given swimming speed. However, the seals rarely dive to these physiological limits, and the majority of their dives are well within their aerobic capacity. Elephant seals therefore appear to dive in a way that ensures that they have a reserve of O-2 available.</t>
  </si>
  <si>
    <t>Univ Tasmania, Dept Zool, Antarctic Wildlife Res Unit, Hobart, Tas 7001, Australia; Australian Antarctic Div, Kingston, Tas 7050, Australia</t>
  </si>
  <si>
    <t>Hindell, MA (corresponding author), Univ Tasmania, Dept Zool, Antarctic Wildlife Res Unit, Hobart, Tas 7001, Australia.</t>
  </si>
  <si>
    <t>McMahon, Clive R/D-5713-2013; Hindell, Mark A/K-1131-2013; Hindell, Mark A/C-8368-2013; Lea, Mary-Anne/E-9054-2013</t>
  </si>
  <si>
    <t>McMahon, Clive R/0000-0001-5241-8917; Hindell, Mark/0000-0002-7823-7185; Lea, Mary-Anne/0000-0001-8318-9299; Morrice, Margie/0000-0001-6903-4565</t>
  </si>
  <si>
    <t>1522-2152</t>
  </si>
  <si>
    <t>PHYSIOL BIOCHEM ZOOL</t>
  </si>
  <si>
    <t>Physiol. Biochem. Zool.</t>
  </si>
  <si>
    <t>10.1086/318104</t>
  </si>
  <si>
    <t>388GT</t>
  </si>
  <si>
    <t>WOS:000166172300014</t>
  </si>
  <si>
    <t>Kirkman, SP; Wilson, W; Klages, NTW; Bester, MN; Isaksen, K</t>
  </si>
  <si>
    <t>Diet and estimated food consumption of Antarctic fur seals at Bouvetoya during summer</t>
  </si>
  <si>
    <t>SOUTH-SHETLAND-ISLANDS; ARCTOCEPHALUS-GAZELLA PETERS; KRILL EUPHAUSIA-SUPERBA; HEARD ISLAND; FISH PREY; BREEDING-SEASON; METABOLIC RATES; AUTUMN PERIOD; LAURIE ISLAND; MARION-ISLAND</t>
  </si>
  <si>
    <t>Collection and analysis of natural regurgitations and fresh seats, deposited by Antarctic fur seals at the Nyroysa colony, Bouvetoya, during December 1998 to February 1999, afforded a comprehensive description of the dietary composition of this expanding population during the summer months. Mature, adult Euphausia superba was the staple diet of fur seals at Nyroysa, while squid and myctophid fish appeared to be taken opportunistically. In metric tons, the total Bouvetoya fur seal population is estimated to have consumed a minimum of 14,365 t krill (representing 1.2713 x 10(10) individuals of 1.13 g mass), 186 t fish, 184 t squid and 14,735 t over 3 months, but there are many possible sources of error in these estimates. It is presumed that over-indulgence in krill may cause animals to regurgitate ashore.</t>
  </si>
  <si>
    <t>Univ Pretoria, Mammal Res Inst, Dept Zool &amp; Entomol, ZA-0002 Pretoria, South Africa; Univ Cape Town, Percy Fitzpatrick Inst African Ornithol, ZA-7701 Rondebosch, South Africa; Port Elizabeth Museum Bayworld, ZA-6013 Humewood, South Africa; Polar Environm Ctr, Norwegian Polar Inst, N-9296 Tromso, Norway</t>
  </si>
  <si>
    <t>University of Pretoria; University of Cape Town; Norwegian Polar Institute</t>
  </si>
  <si>
    <t>Bester, MN (corresponding author), Univ Pretoria, Mammal Res Inst, Dept Zool &amp; Entomol, ZA-0002 Pretoria, South Africa.</t>
  </si>
  <si>
    <t>Bester, Marthán N/E-5387-2010; Kirkman, Stephen/AAA-9139-2021</t>
  </si>
  <si>
    <t>Kirkman, Stephen/0000-0001-5428-7375</t>
  </si>
  <si>
    <t>10.1007/s003000000145</t>
  </si>
  <si>
    <t>365BE</t>
  </si>
  <si>
    <t>WOS:000089927900002</t>
  </si>
  <si>
    <t>Nonnis Marzano, F; Fiori, F; Jia, GG; Chiantore, M</t>
  </si>
  <si>
    <t>Anthropogenic radionuclides bioaccumulation in Antarctic marine fauna and its ecological relevance</t>
  </si>
  <si>
    <t>TERRA-NOVA BAY; SCALLOP ADAMUSSIUM-COLBECKI; ROSS SEA; ITALIAN BASE; FISH; ENVIRONMENT; PLUTONIUM; FALLOUT; MATTER; WATERS</t>
  </si>
  <si>
    <t>The paucity of investigations on the presence of artificial radionuclides and their bioaccumulation in Antarctic fauna is due to the erroneous belief that this area is pristine. We report evidence that significant levels of the artificial radionuclides Sr-90, Cs-137, Am-241 and plutonium isotopes can be found in sponges, bivalves, krill and demersal fish fauna of Terra Nova Bay (Ross Sea), sometimes with a seasonal pattern. Increasing concentrations of Cs-137 were detected in the bivalve Adamussium colbecki (Antarctic scallop) during austral summer months, as a result of major trophic activity and changes in metabolic rates. Bioconcentration factors for artificial radionuclides in different Antarctic species are presented and discussed in relation to their different trophic strategies. Unexpectedly high radiocesium bioconcentration factors determined in bivalves suggested the particular role played by filter feeding in bioaccumulation, particularly in summer when radionuclide bioavailability is enhanced. The feeding preference of the trematomiid fish Trematomus bernacchii for the scallop A. colbecki is confirmed, not only by fish gut content analyses, but also through radiometric results. Transuranics bioaccumulation by sensitive species allowed some interesting comparisons on the different plutonium contamination of the southern hemisphere with respect to the northern one.</t>
  </si>
  <si>
    <t>Univ Parma, Dipartimento Biol Evolut &amp; Funzionale, I-43100 Parma, Italy; China Inst Atom Energy, Beijing, Peoples R China; Univ Genoa, Dipartimento Studio Territorio &amp; Risorse, I-16132 Genoa, Italy</t>
  </si>
  <si>
    <t>University of Parma; China Institute of Atomic Energy; University of Genoa</t>
  </si>
  <si>
    <t>Nonnis Marzano, F (corresponding author), Univ Parma, Dipartimento Biol Evolut &amp; Funzionale, Parco Area Sci 11, I-43100 Parma, Italy.</t>
  </si>
  <si>
    <t>nonnis@biol.unipr.it</t>
  </si>
  <si>
    <t>MArzano, Francesco Nonnis/L-1025-2016; Chiantore, Mariachiara/C-7070-2017</t>
  </si>
  <si>
    <t>MArzano, Francesco Nonnis/0000-0001-5764-3515; Chiantore, Mariachiara/0000-0002-5862-1470</t>
  </si>
  <si>
    <t>10.1007/s003000000148</t>
  </si>
  <si>
    <t>WOS:000089927900003</t>
  </si>
  <si>
    <t>Royuela, M; Meyer-Rochow, VB; Fraile, B; Paniagua, R</t>
  </si>
  <si>
    <t>Muscle cells in the tiny marine Antarctic mite Halacarellus thomasi:: an ultrastructural and immunocytochemical study</t>
  </si>
  <si>
    <t>VERTEBRATE SKELETAL-MUSCLE; EARTHWORM EISENIA-FOETIDA; SNAIL HELIX-ASPERSA; DROSOPHILA-MELANOGASTER; MYOSIN FILAMENT; STRIATED-MUSCLE; INSECT FLIGHT; MUSSEL SHRIMP; ALPHA-ACTININ; MINI-TITINS</t>
  </si>
  <si>
    <t>All musculature examined in the tiny, 0.3-mm, marine Antarctic mite Halacarellus thomasi (i.e. body and appendages) appeared ultrastructurally to be of the transversely striated type with continuous Z-lines. Tubules of sarcoplasmic reticulum lay among the myofibrils. The complexity of the sarcotubular system, sarcomere lengths of over 6 mu m, and the abundance of mitochondria are interpreted as signs that the mite is slow moving, but capable of considerable and sustained contraction forces, features deemed necessary in the strong currents of the frigid water prevailing in the mite's habitat. Presence and distribution of regulatory (troponin, tropomyosin, caldesmon and calponin), contractile (actin, myosin, paramyosin and miniparamyosin) and structural (alpha-actinin, titin, minititin and nebulin) proteins were determined immunocytochemically. The results are consistent with the notion of a well-functioning contractile machinery but, furthermore, provide evidence for the great importance of the structural proteins alpha-actinin, minititin and nebulin in maintaining muscle-cell stability under the environmental conditions in which the mite has to function.</t>
  </si>
  <si>
    <t>Univ Oulu, Dept Biol, FIN-90401 Oulu, Finland; Univ Oulu, Inst Arct Med, FIN-90401 Oulu, Finland; Univ Alcala de Henares, Dept Cell Biol &amp; Genet, E-28871 Alcala De Henares, Spain</t>
  </si>
  <si>
    <t>University of Oulu; University of Oulu; Universidad de Alcala</t>
  </si>
  <si>
    <t>Univ Oulu, Dept Biol, P Box 8000, FIN-90401 Oulu, Finland.</t>
  </si>
  <si>
    <t>MEYER-ROCHOW, V. Benno/0000-0003-1531-9244; Royuela, Mar/0000-0003-1999-9849</t>
  </si>
  <si>
    <t>10.1007/s003000000149</t>
  </si>
  <si>
    <t>WOS:000089927900004</t>
  </si>
  <si>
    <t>Worland, MR; Lukesová, A</t>
  </si>
  <si>
    <t>The effect of feeding on specific soil algae on the cold-hardiness of two Antarctic micro-arthropods (Alaskozetes antarcticus and Cryptopygus antarcticus)</t>
  </si>
  <si>
    <t>ICE NUCLEATION; TERRESTRIAL ARTHROPODS; SUBZERO TEMPERATURES; SIGNY ISLAND; TOLERANCE; COLLEMBOLA; SURVIVAL; MICROARTHROPODS; HEMOLYMPH; INSECTS</t>
  </si>
  <si>
    <t>The effect of consuming terrestrial algae on the cold tolerance of two Antarctic micro-arthropods was examined. From the results of preferential feeding experiments, seven species of Antarctic terrestrial microalgae were chosen and fed to two common, freeze avoiding Antarctic micro-arthropods: the springtail Cryptopygus antarcticus (Collembola: Isotomidae), and the mite Alaskozetes antarcticus (Acari: Oribatida). Mites were very selective in their choice of food whereas the springtails were less discriminating. The ice nucleating activity of each species of alga was measured using an ice nucleator spectrometer and a differential scanning calorimeter. Pure cultures of individual species of algae had characteristic supercooling points ranging from ca, -5 to -18 degrees C. The effect of eating a particular alga on the supercooling point of individual micro-arthropods cultured at two different temperatures (0 and 10 degrees C) was examined. Neither species showed a preference for algae with low ice-nucleating activity and there was no clear correlation between the supercooling point of food material and that of the whole animal. However, feeding on certain algae such as Prasiola crispa, which contained the most active ice nucleators, decreased the cold tolerance of both species of arthropods.</t>
  </si>
  <si>
    <t>British Antarctic Survey, NERC, Cambridge CB2 0ET, England; Acad Sci Czech Republ, Inst Soil Biol, CR-37005 Ceske Budejovice, Czech Republic</t>
  </si>
  <si>
    <t>UK Research &amp; Innovation (UKRI); Natural Environment Research Council (NERC); NERC British Antarctic Survey; Czech Academy of Sciences; Biology Centre of the Czech Academy of Sciences</t>
  </si>
  <si>
    <t>British Antarctic Survey, NERC, High Cross,Madingley Rd, Cambridge CB2 0ET, England.</t>
  </si>
  <si>
    <t>mrwo@bas.ac.uk</t>
  </si>
  <si>
    <t>Lukešová, Alena/G-1451-2014; CALLISTA, audrey/AAD-8511-2022</t>
  </si>
  <si>
    <t>10.1007/s003000000150</t>
  </si>
  <si>
    <t>WOS:000089927900005</t>
  </si>
  <si>
    <t>Mercer, RD; Chown, SL; Marshall, DJ</t>
  </si>
  <si>
    <t>Mite and insect zonation on a Marion Island rocky shore: a quantitative approach</t>
  </si>
  <si>
    <t>ANTARCTIC SOUTH GEORGIA; VERTICAL-DISTRIBUTION; COMMUNITY STRUCTURE; WEEVILS COLEOPTERA; DIFFERENT HABITATS; LITTORAL MITES; HEARD ISLAND; NEW-ZEALAND; BODY-SIZE; ACARI</t>
  </si>
  <si>
    <t>This study provides the first quantitative analysis of the littoral and supralittoral insect and mite assemblages of sub-Antarctic Marion Island. Seventeen mite species (126,203 individuals) from 11 families were found on the shore at Macaroni Bay. Three families dominated the assemblages in both abundance and diversity: the Hyadesiidae, Ameronothridae and Halacaridae. Six insect species from three orders were found on the shore. Species richness increased from one in the littoral, to four and two species in the Mastodia and Caloplaca zones, respectively. The littoral chironomid midge Telmatogton amphibius was the most abundant insect species, constituting 80% of all insects counted. Arthropod assemblages corresponded closely to the cryptogam-dominated zonation patterns previously identified for the Marion Island shore. This clear association between arthropod and cryptogam zonation patterns provided a clear indication of habitat specificity in many of the species, and a quantitative analysis of habitat specificity on a species by species basis supported this idea. The specificity of most species to the shore, which forms part of the epilithic biotope, is most Likely a consequence of the considerable age of this biotope compared to the younger, post-glacial vascular vegetation. Tourist species, i.e. species transient to an assemblage, inflated species richness in zones and the distribution ranges of species across zones. It is suggested that previous qualitative analyses of shoreline arthropod communities may have overestimated species ranges and richnesses because of the inclusion of tourist species. It is suggested that if a sound understanding of patterns in, and processes underlying Antarctic arthropod assemblages is to be achieved, quantitative analyses must be expanded in the region.</t>
  </si>
  <si>
    <t>Univ Pretoria, Dept Zool &amp; Entomol, ZA-0002 Pretoria, South Africa; Univ Durban Westville, Dept Zool, ZA-4000 Durban, South Africa</t>
  </si>
  <si>
    <t>University of Pretoria; University of Kwazulu Natal</t>
  </si>
  <si>
    <t>Chown, SL (corresponding author), Univ Pretoria, Dept Zool &amp; Entomol, ZA-0002 Pretoria, South Africa.</t>
  </si>
  <si>
    <t>Chown, Steven/ABD-7646-2021; Chown, Steven L/H-3347-2011</t>
  </si>
  <si>
    <t>Marshall, David/0000-0003-3771-5950</t>
  </si>
  <si>
    <t>10.1007/s003000000151</t>
  </si>
  <si>
    <t>WOS:000089927900006</t>
  </si>
  <si>
    <t>Hagen, W; Kattner, G; Friedrich, C</t>
  </si>
  <si>
    <t>The lipid compositions of high-Antarctic notothenioid fish species with different life strategies</t>
  </si>
  <si>
    <t>WAX ESTERS; ECOLOGICAL IMPLICATIONS; CALANUS-PROPINQUUS; CALANOIDES-ACUTUS; WEDDELL-SEA; FATTY-ACIDS; PLEURAGRAMMA-ANTARCTICUM; ALCOHOL COMPOSITION; MARINE ZOOPLANKTON; MACKEREL OILS</t>
  </si>
  <si>
    <t>Lipid and fatty acid compositions of five notothenioid fishes from the Antarctic Weddell and Lazarev Seas were investigated in detail with regard to their different modes of life. The pelagic Aethotaxis mitopteryx was the lipid-richest species (mean of 61.4% of dry mass, DM) followed by Pleuragramma antarcticum (37.7%DM). The benthopelagic Trematomus lepidorhinus had an intermediate lipid content of 23.2%DM. The benthic Bathydraco marri (20.8%DM) and Dolloidraco longedorsalis (14.5%DM) belonged to the lipid-poorer species. Triacylglycerols were the major lipid class in all species. Important fatty acids were 16:0, 16:1(n-7), 18:1(n-9), 18:1(n-7), 20:5(n-3) and 22:6(n-3). The enhanced proportions of the long-chain monoun-saturated fatty acids, 20:1 and 22:1, in the lipid-rich pelagic fishes clearly reflected the ingestion of the two copepod species, Calanoides acutus and Calanus propinquus, which are the only known Antarctic zooplankters rich in these fatty acids. Although wax esters are the major storage lipid in many prey species, they were absent in all notothenioid fishes studied. Thus, wax esters ingested with prey are probably converted to triacylglycerols via fatty acids or metabolised by the fishes. The enhanced lipid accumulation with increasingly pelagic lifestyle has energetic advantages, especially with regard to improved buoyancy. It is still unknown to what extent these lipids are utilised as energy reserves, since it has been suggested that not only the benthic but also the pelagic Antarctic fishes are rather sluggish, with a low scope for activity and hence low metabolic requirements.</t>
  </si>
  <si>
    <t>Univ Bremen, D-28334 Bremen, Germany; Alfred Wegener Inst Polar &amp; Marine Res, D-27515 Bremerhaven, Germany; Univ Kiel, Inst Polarokol, D-24148 Kiel, Germany</t>
  </si>
  <si>
    <t>University of Bremen; Helmholtz Association; Alfred Wegener Institute, Helmholtz Centre for Polar &amp; Marine Research; University of Kiel</t>
  </si>
  <si>
    <t>Hagen, W (corresponding author), Univ Bremen, Postfach 330 440, D-28334 Bremen, Germany.</t>
  </si>
  <si>
    <t>10.1007/s003000000153</t>
  </si>
  <si>
    <t>WOS:000089927900007</t>
  </si>
  <si>
    <t>McLaughlin, PA</t>
  </si>
  <si>
    <t>Megalopal and first crab stages of Porcellanopagurus edwardsi Filhol, 1885 (Crustacea: Decapoda: Anomura: Paguridea)</t>
  </si>
  <si>
    <t>EARLY JUVENILE DEVELOPMENT; LARVAL; PROVENZANOI</t>
  </si>
  <si>
    <t>The megalopal and first crab stages of a hermit crab believed to be Porcellanopagurus edwaudsi Filhol, 1885, are described and illustrated from specimens collected off New Zealand during the U.S. Antarctic Program, 1962-1968. This is the first report of post-larval development in the genus. While the megalopal stage of P. edwardsi is generally quite similar to megalopae of other described pagurid genera, a significant difference is seen in the first crab stage. At this stage in most pagurids there typically is reduction in the second pleopods on both sides of the abdomen; the remaining right side pleopods may be reduced or lost entirely, whereas left side pleopods usually undergo only endopod reduction or loss. In contrast, all pleopods of P. edwardsi undergo dramatic reduction with the molt to the first crab stage.</t>
  </si>
  <si>
    <t>Western Washington Univ, Shannon Point Marine Ctr, Anacortes, WA 98221 USA</t>
  </si>
  <si>
    <t>Western Washington University</t>
  </si>
  <si>
    <t>McLaughlin, PA (corresponding author), Western Washington Univ, Shannon Point Marine Ctr, 1900 Shannon Point Rd, Anacortes, WA 98221 USA.</t>
  </si>
  <si>
    <t>373JG</t>
  </si>
  <si>
    <t>WOS:000165285300015</t>
  </si>
  <si>
    <t>Masson, V; Vimeux, F; Jouzel, J; Morgan, V; Delmotte, M; Ciais, P; Hammer, C; Johnsen, S; Lipenkov, VY; Mosley-Thompson, E; Petit, JR; Steig, EJ; Stievenard, M; Vaikmae, R</t>
  </si>
  <si>
    <t>Holocene climate variability in Antarctica based on 11 ice-core isotopic records</t>
  </si>
  <si>
    <t>SEA-ICE; ROSS EMBAYMENT; SOUTHERN-OCEAN; COLD EVENT; LAW DOME; TEMPERATURE; GREENLAND; HISTORY; INFORMATION; LINKAGES</t>
  </si>
  <si>
    <t>A comparison is made of the Holocene records obtained from water isotope measurements along 11 ice cores from coastal and central sites in east Antarctica (Vostok, Dome B, Plateau Remote, Komsomolskaia, Dome C, Taylor Dome, Dominion Range, D47, KM105, and Law Dome) and west Antarctica (Byrd), with temporal resolution from 20 to 50 yr. The longterm trends possibly reflect local ice sheet elevation fluctuations superimposed on common climatic fluctuations. All the records confirm the widespread Antarctic early Holocene optimum between 11,500 and 9000 yr; in the Ross Sea sector, a secondary optimum is identified between 7000 and 5000 yr, whereas all eastern Antarctic sites show a late optimum between 6000 and 3000 yr, Superimposed on the long time trend, all the records exhibit 9 aperiodic millennial-scale oscillations. Climatic optima show a reduced pacing between warm events (typically 800 yr), whereas cooler periods are associated with less-frequent warm events (pacing &gt; 1200 yr). (C) 2000 University of Washington.</t>
  </si>
  <si>
    <t>CEA Saclay, CNRS, UMR 1572, Lab Sci Climat &amp; Environm, F-91190 Gif Sur Yvette, France; Antarctic CRC &amp; Australian Antarctic Div, Hobart, Tas 7001, Australia; Univ Copenhagen, Niels Bohr Inst, Dept Geophys, DK-2100 Copenhagen, Denmark; Artic &amp; Antarctic Res Inst, St Petersburg 199397, Russia; Ohio State Univ, Byrd Polar Res Ctr, Dept Geog, Columbus, OH 43210 USA; Lab Glaciol &amp; Geophys Environm, F-38402 St Martin Dheres, France; Univ Penn, Dept Earth &amp; Environm Sci, Philadelphia, PA 19104 USA; Tallinn Univ Technol, Inst Geol, EE-10143 Tallinn, Estonia</t>
  </si>
  <si>
    <t>Universite Paris Saclay; CEA; Centre National de la Recherche Scientifique (CNRS); Australian Antarctic Division; University of Copenhagen; Niels Bohr Institute; University System of Ohio; Ohio State University; University of Pennsylvania; Tallinn University of Technology</t>
  </si>
  <si>
    <t>CEA Saclay, CNRS, UMR 1572, Lab Sci Climat &amp; Environm, Bat 709,Lorme Merisiers, F-91190 Gif Sur Yvette, France.</t>
  </si>
  <si>
    <t>Vaikmae, Rein/A-8509-2012; Mosley-Thompson, Ellen S/Z-2100-2018; Vaikmäe, Rein/H-2691-2019; Masson-Delmotte, Valerie L/G-1995-2011; Ciais, Philippe/A-6840-2011; Lipenkov, Vladimir/Q-8262-2016; /G-9088-2015</t>
  </si>
  <si>
    <t>Vaikmäe, Rein/0000-0002-9837-163X; Masson-Delmotte, Valerie L/0000-0001-8296-381X; Ciais, Philippe/0000-0001-8560-4943; Lipenkov, Vladimir/0000-0003-4221-5440; /0000-0002-8191-5549</t>
  </si>
  <si>
    <t>1096-0287</t>
  </si>
  <si>
    <t>10.1006/qres.2000.2172</t>
  </si>
  <si>
    <t>388ER</t>
  </si>
  <si>
    <t>WOS:000166164900006</t>
  </si>
  <si>
    <t>Nolin, AW; Dozier, J</t>
  </si>
  <si>
    <t>A hyperspectral method for remotely sensing the grain size of snow</t>
  </si>
  <si>
    <t>AVIRIS DATA; OPTICAL-PROPERTIES; SPECTRAL ALBEDO; ANTARCTIC SNOW; ICE; SCATTERING; SURFACE; MODEL</t>
  </si>
  <si>
    <t>We have developed a robust, accurate inversion technique for estimating the grain size in a snowpack's surface layer from imaging spectrometer data. Using a radiative transfer mode, the method relates an ice absorption feature, centered at lambda =1.03 mum, to the optically equivalent snow grain size. Because the interpretation is based on the area-not depth-of the absorption feature scaled to absolute reflectance, the method is insensitive to instrument noise and does not require a topographic correction. We tested the method using Airborne Visible/Infrared Imaging Spectrometer data over the eastern Sierra Nevada, California, and we validated it with a combination of ground-based spectrometer data and grain size measurements. (C) Elsevier Science Inc., 2000.</t>
  </si>
  <si>
    <t>Univ Colorado, Cooperat Inst Res Environm Sci, Natl Snow &amp; Ice Data Ctr, Boulder, CO 80309 USA</t>
  </si>
  <si>
    <t>Univ Colorado, Cooperat Inst Res Environm Sci, Natl Snow &amp; Ice Data Ctr, Campus Box 449, Boulder, CO 80309 USA.</t>
  </si>
  <si>
    <t>nolin@spectra.colorado.edu</t>
  </si>
  <si>
    <t>Dozier, Jeff/AAL-4783-2021; Nolin, Anne/KHX-9645-2024</t>
  </si>
  <si>
    <t>Dozier, Jeff/0000-0001-8542-431X;</t>
  </si>
  <si>
    <t>1879-0704</t>
  </si>
  <si>
    <t>10.1016/S0034-4257(00)00111-5</t>
  </si>
  <si>
    <t>366EL</t>
  </si>
  <si>
    <t>WOS:000089991800002</t>
  </si>
  <si>
    <t>Ansorge, IJ; Lutjeharms, JRE</t>
  </si>
  <si>
    <t>Twenty-five years of physical oceanographic research at the Prince Edward Islands</t>
  </si>
  <si>
    <t>SOUTH AFRICAN JOURNAL OF SCIENCE</t>
  </si>
  <si>
    <t>ANTARCTIC CIRCUMPOLAR CURRENT; SOUTH INDIAN-OCEAN; FRONTAL STRUCTURE; AFRICA; VARIABILITY; ENVIRONMENT; TRANSPORT; EDDIES; CIRCULATION; PERSPECTIVE</t>
  </si>
  <si>
    <t>The Prince Edward Islands constitute the southernmost part of the territory of South Africa. Home to millions of nesting seabirds of a number of species as well as a haulout for certain threatened marine mammals, the islands have been declared a protected natural region. Surrounded as they are by vast tracks of ocean, it has long been recognized that the ocean environment of the Prince Edward Islands must be crucial to the ecosystem of the islands. Oceanic research on this environment has gone through a number of phases over the past 25 years. First,;severely limited observations suggested a region of upwelling in the lee of the islands. During the 1970s and 1980s, regular observations in the general vicinity succeeded in locating the islands relative to the main oceanic fronts and for the first time described eddies in the region. Subsequent observational programmes at the islands found no upwelling, but instead the recurrent presence of an eddy on the shelf between the islands. More regular and more extensive subsequent surveys have not found such an eddy to be a regular feature. Two oceanographic cruises covering large areas both upstream and downstream of the islands during the 1990s have shown that it is an unusually variable ocean region with both cyclonic and anticyclonic eddies of unknown origin. These mesoscale features have been linked to the primary productivity of the islands' surroundings. Satellite altimetry has now indicated that the origin of these eddies may be where the core of the Antarctic Circumpolar Current crosses the South-West Indian Ridge, upstream of the islands. A study has therefore now been proposed to investigate this possible source of eddies. A successful project will give definitive answers to questions regarding the origin of the oceanic variability at the Prince Edward Islands.</t>
  </si>
  <si>
    <t>Univ Cape Town, Dept Oceanog, ZA-7701 Rondebosch, South Africa</t>
  </si>
  <si>
    <t>University of Cape Town</t>
  </si>
  <si>
    <t>Ansorge, IJ (corresponding author), Univ Cape Town, Dept Oceanog, ZA-7701 Rondebosch, South Africa.</t>
  </si>
  <si>
    <t>ansorge@physci.uct.ac.za</t>
  </si>
  <si>
    <t>ANSORGE, ISABELLE/AAY-7396-2020</t>
  </si>
  <si>
    <t>Ansorge, Isabelle/0000-0001-7071-8147</t>
  </si>
  <si>
    <t>ACAD SCIENCE SOUTH AFRICA A S S AF</t>
  </si>
  <si>
    <t>LYNWOOD RIDGE</t>
  </si>
  <si>
    <t>PO BOX 72135, LYNWOOD RIDGE 0040, SOUTH AFRICA</t>
  </si>
  <si>
    <t>0038-2353</t>
  </si>
  <si>
    <t>S AFR J SCI</t>
  </si>
  <si>
    <t>S. Afr. J. Sci.</t>
  </si>
  <si>
    <t>398QX</t>
  </si>
  <si>
    <t>WOS:000166768100009</t>
  </si>
  <si>
    <t>Ram, M; Donarummo, J; Stolz, MR; Koenig, G</t>
  </si>
  <si>
    <t>Calibration of laser-light scattering measurements of dust concentration for Wisconsinan GISP2 ice using instrumental neutron activation analysis of aluminum: Results and discussion</t>
  </si>
  <si>
    <t>ANTARCTIC ICE; CORE; SHEET</t>
  </si>
  <si>
    <t>In past work we used laser-light scattering (LLS) from bubble-free ice to measure how the dust concentration varied along the Wisconsinan (glacial) section of the Greenland Ice Sheet Project 2 (GISP2) ice core from central Greenland. in this paper we show how we calibrated this dust profile using instrumental neutron activation analysis (INAA) of aluminum. In the course of the calibration, we found that excluding NO3-, all the major impurities (soluble and insoluble) present in the ice covaried linearly. With respect to the dust concentration, we find that the LLS signal from ice below a depth of 2600 m follows a different linear trend than the LLS signal from shallow ice. We attribute this to the presence of numerous microbubbles (diameter &lt; 0.3 mm) that emerged in the deeper ice following core extraction.</t>
  </si>
  <si>
    <t>SUNY Buffalo, Dept Phys, Buffalo, NY 14260 USA</t>
  </si>
  <si>
    <t>State University of New York (SUNY) System; State University of New York (SUNY) Buffalo</t>
  </si>
  <si>
    <t>Ram, M (corresponding author), SUNY Buffalo, Dept Phys, 239 Fronczak Hall, Buffalo, NY 14260 USA.</t>
  </si>
  <si>
    <t>OCT 27</t>
  </si>
  <si>
    <t>D20</t>
  </si>
  <si>
    <t>10.1029/2000JD900321</t>
  </si>
  <si>
    <t>367NQ</t>
  </si>
  <si>
    <t>WOS:000090068700009</t>
  </si>
  <si>
    <t>Moltschaniwskyj, NA; Jackson, GD</t>
  </si>
  <si>
    <t>Growth and tissue composition as a function of feeding history in juvenile cephalopods</t>
  </si>
  <si>
    <t>cuttlefish; growth; feeding experiment; juvenile cephalopods; tissue composition; RNA : protein; squid</t>
  </si>
  <si>
    <t>SQUID LOLIGO-CHINENSIS; STATOLITH GROWTH; REEF FISH; AGE; LOLIGINIDAE; MATURATION; RATIO</t>
  </si>
  <si>
    <t>We present the results of a series of experiments that examined the effect of feeding history on the growth and tissue composition of juveniles of two tropical cephalopods; the squid Sepioteuthis lessoniana and the cuttlefish Sepia elliptica. Juveniles were reared in individual containers for between 35 and 42 days at different ration levels, three ration levels for the squid and two levels for the cuttlefish. Although differences in ration were sufficient to cause different growth rates, both in body length and mass, the effects on tissue composition were less definitive. Sepioteuthis juveniles on the highest rations had higher concentrations of water, but no difference in lipid, carbohydrate or protein when compared with their lower ration siblings. In the case of juvenile cuttlefish no difference in tissue composition was detected between the two ration levels. RNA:protein ratios were also determined for the juveniles to provide an estimate of instantaneous growth. A significant correlation was found between body size and RNA:protein ratio in the squid; those juveniles that ate more had higher RNA:protein ratios than lower ration individuals. Significantly, the juvenile cuttlefish showed no relationship between growth rate and RNA:protein ratios, which means that we are unable to use this measure to estimate the growth rates of wild individuals. In conclusion, ration level did affect growth rates and food availability is an important factor in modifying growth rates of wild individuals. However, we could not find, at the individual level, an index or measure that could be used to explain the variability of observed differences in growth rates as a function of nutritional history. (C) 2000 Elsevier Science B.V. All rights reserved.</t>
  </si>
  <si>
    <t>Univ Tasmania, Sch Aquaculture, Tasmanian Aquaculture &amp; Fisheries Inst, Launceston, Tas 7250, Australia; Univ Tasmania, Inst Antarctic So Ocean Studies, Hobart, Tas 7001, Australia; James Cook Univ N Queensland, Sch Marine Biol &amp; Aquaculture, Townsville, Qld 4811, Australia</t>
  </si>
  <si>
    <t>University of Tasmania; University of Tasmania; James Cook University</t>
  </si>
  <si>
    <t>Moltschaniwskyj, NA (corresponding author), Univ Tasmania, Sch Aquaculture, Tasmanian Aquaculture &amp; Fisheries Inst, Locked Bag 1-370, Launceston, Tas 7250, Australia.</t>
  </si>
  <si>
    <t>Jackson, George D/AAI-7315-2021; Moltschaniwskyj, Natalie/AAB-7236-2019; Moltschaniwskyj, Natalie/D-2048-2012</t>
  </si>
  <si>
    <t>OCT 25</t>
  </si>
  <si>
    <t>10.1016/S0022-0981(00)00257-4</t>
  </si>
  <si>
    <t>368VH</t>
  </si>
  <si>
    <t>Green Accepted, Green Published</t>
  </si>
  <si>
    <t>WOS:000090137800006</t>
  </si>
  <si>
    <t>Tsou, JJ; Connor, BJ; Parrish, A; Pierce, RB; Boyd, IS; Bodeker, GE; Chu, WP; Russell, JM; Swart, DPJ; McGee, TJ</t>
  </si>
  <si>
    <t>NDSC millimeter wave ozone observations at Lauder, New Zealand, 1992-1998: Improved methodology, validation, and variation study</t>
  </si>
  <si>
    <t>STRATOSPHERIC OZONE; LIDAR; TEMPERATURE; OZONESONDES</t>
  </si>
  <si>
    <t>A ground-based millimeter wave radiometer for the Network for the Detection of Stratospheric Change (NDSC) was installed at Lauder, New Zealand (45 degreesS, 169.7 degreesE) in November 1992. It has been monitoring the middle atmospheric ozone with nearly continuous operation since then. Owing to special complications in the observing conditions at this southern midlatitude site, three refinements to the data analysis and calibration techniques were proposed: (1) the use of a radiative model of local tropospheric climate adopted to the low surface elevation of the observing site, (2) the correction of observing angle measurements due to the settling of the foundation of the site, and (3) the improved method of radiometric temperature determination of calibration sources. All data from 1992 to 1998 were reprocessed with these modifications implemented. The retrieved ozone profiles are compared to sonde, two lidars, and satellite (Halogen Occultation Experiment (HALOE), Stratospheric Aerosol and Gas Experiment (SAGE II)) overpass measurements. The agreement is very good, with mean differences from 56 to 1 mbar of generally 2-3% for the comparisons with sonde, HALOE, and SAGE II, and generally &lt;5% for the comparisons with lidars when large samples are considered. The root-mean-square scatter about the mean differences is mostly consistent with the expected (combined) precision. In comparisons with these correlative measurements, the millimeter wave ozone observations are found to have no seasonal bias, no comparison bias due to the a priori profiles used in millimeter wave data retrievals, and no observable instrument drift from 1992 to 1998, Better agreement is found in the comparison with sonde data if suspected vertical shifts in the sonde profiles are considered. The variations seen in the 6 year millimeter wave ozone data are shown to be mostly in line with photochemistry and dynamic transport processes in the mid austral latitudes. These processes, however, are apparently modulated somewhat by the Antarctic polar vortex circulation in winter seasons in the upper stratosphere.</t>
  </si>
  <si>
    <t>NASA, LaRC, Hampton, VA 23618 USA; NASA, Goddard Space Flight Ctr, Greenbelt, MD 20771 USA; Sci Applicat Int Corp, Hampton, VA USA; Univ Massachusetts, Dept Astron, Amherst, MA 01003 USA; Hampton Univ, Dept Phys, Hampton, VA 23668 USA; Natl Inst Publ Hlth &amp; Environm, NL-3720 BA Bilthoven, Netherlands; Natl Inst Water &amp; Atmospher Res, Lauder, New Zealand</t>
  </si>
  <si>
    <t>National Aeronautics &amp; Space Administration (NASA); NASA Langley Research Center; National Aeronautics &amp; Space Administration (NASA); NASA Goddard Space Flight Center; Science Applications International Corporation (SAIC); University of Massachusetts System; University of Massachusetts Amherst; Hampton University; Netherlands National Institute for Public Health &amp; the Environment; National Institute of Water &amp; Atmospheric Research (NIWA) - New Zealand</t>
  </si>
  <si>
    <t>Tsou, JJ (corresponding author), NASA, LaRC, MS 401A, Hampton, VA 23618 USA.</t>
  </si>
  <si>
    <t>j.j.tsou@larc.nasa.gov; b.connor@niwa.cri.nz; parrish@astro.umass.edu; r.b.pierce@larc.nasa.gov; i.boyd@niwa.cri.nz; g.bodeker@niwa.cri.nz; w.p.chu@larc.nasa.gov; jmr@hamptonu.edu; daan.swart@rivm.nl; t.j.mcgee@gsfc.nasa.gov</t>
  </si>
  <si>
    <t>Bodeker, Greg E/A-8870-2008; Pierce, Robert Bradley/F-5609-2010; Pierce, R. Bradley/A-5990-2019; McGee, Thomas J/G-4951-2013</t>
  </si>
  <si>
    <t>Pierce, Robert Bradley/0000-0002-2767-1643; Bodeker, Gregory/0000-0003-1094-5852</t>
  </si>
  <si>
    <t>OCT 16</t>
  </si>
  <si>
    <t>D19</t>
  </si>
  <si>
    <t>10.1029/2000JD900292</t>
  </si>
  <si>
    <t>366WM</t>
  </si>
  <si>
    <t>WOS:000090029300007</t>
  </si>
  <si>
    <t>Surface heat budget of Antarctic snow and blue ice: Interpretation of spatial and temporal variability</t>
  </si>
  <si>
    <t>SCALAR TRANSFER-COEFFICIENTS; REGIONAL ATMOSPHERIC MODEL; ENERGY BALANCE; BOUNDARY-LAYER; MASS-BALANCE; EASTERN ANTARCTICA; ADELIE-LAND; MAUD-LAND; CIRCULATION; TURBULENCE</t>
  </si>
  <si>
    <t>A surface energy balance model is used to calculate the surface heat budget terms from data gathered in austral summer 1997-1998 at seven locations near Svea (74 degrees 35'S, 11 degrees 13'W), located in the Heimefrontfjella, Dronning Maud Land, Antarctica. The modeled results are validated using the turbulent fluxes calculated with the profile method, those directly measured with sonic anemometer, the measured surface and subsurface temperatures, and the stake ablation readings to constrain the simulated budgets. The simulated quantities generally agree reasonably well with those observed. The seven measuring sites can be subdivided into three climatic regions: I, blue ice areas; II, the low-altitude coastal snow-covered plateau; and III, the high-altitude interior plateau. Spatial and temporal differences in the average surface heat budget and in the variability on daily and longer-term timescales are presented and discussed. The three regions exhibit quite different surface heat budget regimes induced by their climatic setting and the prevailing boundary layer flow, a well-established katabatic flow regime, and the associated typical surface heat fluxes being found over regions II and III. The differences between blue ice and snow surface are quite distinct, blue ice absorbing twice as much solar energy due to its;lower albedo. This and the lower relative humidity values cause the latent heat flux to be much higher over blue ice than over snow, enabling strong sublimation and a negative mass balance. Differences in the turbulent heat fluxes between the three climatic regions can be well understood in terms of the temperature- dependent Bowen ratio. The surface heat budgets of the various sites are compared with estimates of other regions in the Antarctic.</t>
  </si>
  <si>
    <t>Univ Utrecht, Inst Marine &amp; Atmospher Res Utrecht, Princetonpl 5,POB 80005, NL-3508 TA Utrecht, Netherlands.</t>
  </si>
  <si>
    <t>r.bintanja@phys.uu.nl</t>
  </si>
  <si>
    <t>10.1029/2000JD900356</t>
  </si>
  <si>
    <t>WOS:000090029300016</t>
  </si>
  <si>
    <t>Cole-Dai, JH; Mosley-Thompson, E; Wight, SP; Thompson, LG</t>
  </si>
  <si>
    <t>A 4100-year record of explosive volcanism from an East Antarctica ice core</t>
  </si>
  <si>
    <t>SOUTH-POLE; GREENLAND; ERUPTION; SHEET; SNOW; STRATIGRAPHY; PROJECT; AEROSOL; IMPACT; EVENTS</t>
  </si>
  <si>
    <t>Extensive archives of volcanic history are available from ice cores recovered from the Antarctic and Greenland ice sheets that receive and preserve sulfuric acid fallout from explosive volcanic eruptions. The continuous, detailed (average 1.2 samples per year) sulfate measurements of a 200-m ice core from a remote East Antarctica site (plateau Remote) provide a record of Southern Hemisphere volcanism over the last 4100 years. This extends the volcanic record beyond the last 1000 years covered by previous Antarctic ice cores. An average of 1.3 eruptions per century is recorded in East Antarctic snow during the last 4100 years. The record shows that on average eruptions have been more frequent and more explosive during the most recent 2000 years than in the previous 2100 years, intervals up to 500 years are observed in which few explosive volcanic signals are detected. These periods include 2000-1500 B.C. (no eruptions), 500-1 B.C. (two eruptions), and 700-1200 A.D, (two eruptions). This new Plateau Remote volcanic record is compared with those from previous Antarctic ice cores covering the last 1000 years. In terms of dates for volcanic events, the new record is in excellent agreement with the earlier records. However, significant discrepancies are found between these records in relative signal magnitude (volcanic flux) of several well-known events. The discrepancies among the records may be explained by the differences in the glaciology at the ice core sites, analytical techniques used for sulfate and sulfuric acid measurement, ana me selection of detection thresholds for volcanic signals. Comparison with Greenland ice core volcanic records indicates that during the last millennium, nine large, low-latitude eruptions contributed significant amounts of volcanic aerosols to the atmosphere of both hemispheres, potentially affecting global climate. In contrast, only one or possibly two such eruptions are found in the first millennium A.D.</t>
  </si>
  <si>
    <t>Ohio State Univ, Byrd Polar Res Ctr, Columbus, OH 43210 USA; Ohio State Univ, Dept Geog, Columbus, OH 43210 USA; Ohio State Univ, Dept Geol Sci, Columbus, OH 43210 USA; S Dakota State Univ, Dept Chem &amp; Biochem, Brookings, SD 57007 USA</t>
  </si>
  <si>
    <t>University System of Ohio; Ohio State University; University System of Ohio; Ohio State University; University System of Ohio; Ohio State University; South Dakota State University</t>
  </si>
  <si>
    <t>Ohio State Univ, Byrd Polar Res Ctr, 1090 Carmack Rd, Columbus, OH 43210 USA.</t>
  </si>
  <si>
    <t>dai.2@osu.edu</t>
  </si>
  <si>
    <t>Cole-Dai, Jihong/B-2510-2009; Mosley-Thompson, Ellen S/Z-2100-2018</t>
  </si>
  <si>
    <t>Cole-Dai, Jihong/0000-0003-0921-5916;</t>
  </si>
  <si>
    <t>10.1029/2000JD900254</t>
  </si>
  <si>
    <t>WOS:000090029300018</t>
  </si>
  <si>
    <t>Mann, GW; Anderson, PS; Mobbs, SD</t>
  </si>
  <si>
    <t>Profile measurements of blowing snow at Halley, Antarctica</t>
  </si>
  <si>
    <t>MASS-BALANCE; WIND-SPEED; ICE SHELF; TRANSPORT; HUMIDITY; LAYER; HEAT; SEA</t>
  </si>
  <si>
    <t>Measurements of blowing snow particle concentration from the second Stable Antarctic Boundary Layer Experiment (STABLE 2) are presented. The measurements, made at Halley Station (75.6 degreesS, 26.7 degreesW) throughout the 1991 austral winter, are supplemented with profile measurements of wind speed, air temperature, and humidity. Threshold wind speeds for blowing snow are shown to be distinctly different for various episodes, often depending strongly on the the availability of loose snow. Blowing snow is measured to occur at Halley between 27 and 37% of the time during winter. Total winter (June, July, August) blowing snow sublimation at Halley is calculated to be around 4.7 mm water equivalent, 3.7% of total accumulation over the same period. Total winter blowing snow mass transport is calculated to be around 5.5 x 10(5) kg per metre width. Measured humidity profiles at Halley show that during winter blowing snow conditions, a layer of near-saturated air forms, causing total sublimation to be less than that for seasonal or limited fetch snow covers. The extent of sublimation is shown to be strongly dependent on wind speed, temperature and fetch.</t>
  </si>
  <si>
    <t>Univ Leeds, Sch Environm, Leeds LS2 9JT, W Yorkshire, England; British Antarctic Survey, Cambridge CB3 0ET, England</t>
  </si>
  <si>
    <t>University of Leeds; UK Research &amp; Innovation (UKRI); Natural Environment Research Council (NERC); NERC British Antarctic Survey</t>
  </si>
  <si>
    <t>Univ Leeds, Sch Environm, Leeds LS2 9JT, W Yorkshire, England.</t>
  </si>
  <si>
    <t>gmann@env.leeds.ac.uk; psan@pcmail.nerc-bas.ac.uk; stephen@env.leeds.ac.uk</t>
  </si>
  <si>
    <t>10.1029/2000JD900247</t>
  </si>
  <si>
    <t>WOS:000090029300023</t>
  </si>
  <si>
    <t>Fish, DJ; Roscoe, HK; Johnston, PV</t>
  </si>
  <si>
    <t>Possible causes of stratospheric NO2 trends observed at Lauder, New Zealand</t>
  </si>
  <si>
    <t>WATER-VAPOR; OZONE; VARIABILITY; PROFILES; MODEL; N2O</t>
  </si>
  <si>
    <t>A recently published analysis of slant columns of NO2 observed at twilight at 45 degreesS has identified trends of about 5%/decade between 1980 and 1998. This is twice the trend in tropospheric N2O, which is the source of stratospheric NO2. By means of a column photochemical model, we explore the sensitivity of NO2 to the observed trends in stratospheric temperature, O-3 and H2O. The resulting calculated trends in NO2 are smaller than observed, and we cannot force agreement by varying the ozone or temperature trends. The calculated sensitivity of NO2 to stratospheric aerosol is large, and a 20% per decade decrease in aerosol surface area creates agreement. We conclude that a small residual in the statistical fit of aerosol to the NO2 measurements may remain, and is a likely cause of the trends found in the NO2 measurements.</t>
  </si>
  <si>
    <t>Univ Reading, Dept Meteorol, Reading RG6 6BB, Berks, England; British Antarctic Survey, NERC, Cambridge CB3 0ET, England; Natl Inst Water &amp; Atmospher Res, Lauder, New Zealand</t>
  </si>
  <si>
    <t>University of Reading; UK Research &amp; Innovation (UKRI); Natural Environment Research Council (NERC); NERC British Antarctic Survey; National Institute of Water &amp; Atmospheric Research (NIWA) - New Zealand</t>
  </si>
  <si>
    <t>Fish, DJ (corresponding author), Univ Reading, Dept Meteorol, Earley Gate,POB 243, Reading RG6 6BB, Berks, England.</t>
  </si>
  <si>
    <t>OCT 15</t>
  </si>
  <si>
    <t>10.1029/2000GL011700</t>
  </si>
  <si>
    <t>365RR</t>
  </si>
  <si>
    <t>WOS:000089964700021</t>
  </si>
  <si>
    <t>Brandon, MA; Murphy, EJ; Trathan, PN; Bone, DG</t>
  </si>
  <si>
    <t>Physical oceanographic conditions to the northwest of the sub-Antarctic Island of South Georgia</t>
  </si>
  <si>
    <t>SEALS ARCTOCEPHALUS-GAZELLA; FUR SEALS; INTERANNUAL VARIABILITY; MACARONI PENGUINS; SUMMER 1994; SCOTIA SEA; KRILL; OCEAN; ATLANTIC; PREDATORS</t>
  </si>
  <si>
    <t>Ocean physics is a key aspect of the operation of island ecosystems, yet the hydrodynamics is sometimes poorly understood. A high-resolution oceanographic survey to the north of South Georgia identified two water masses. These are South Georgia Shelf Water (SGSW) and Antarctic Zone Water (AZW). At the surface, SGSW is both colder and fresher than AZW; at the near-surface temperature minimum these differences are reversed. There are two causes: SGSW is close to the island and has an additional contribution to the heat and salt balance from increased precipitation and island runoff, and second, AZW has advected from higher latitudes. Both of these mechanisms imply SGSW is retained around the island. Between these water masses is a variable width frontal region that has a mixture of both water masses. In general terms, the mean current of the AZW is to the west. In the SGSW the general flow also appears to be to the west, but at reduced magnitude; there is evidence of a stronger westerly current close to the shore. In both water masses there are easterly surface currents most likely driven by the prevailing wind. An approximation for the limit of SGSW is that it is constrained to water depths &lt;500 m, A significant deviation is caused by an anticyclonic flow around a prominent bank that can be associated with significant, upwelling. Finally, we comment on the ecological significance of the system observed.</t>
  </si>
  <si>
    <t>Open Univ, Dept Earth Sci, Walton Hall, Milton Keynes MK7 6AA, Bucks, England.</t>
  </si>
  <si>
    <t>M.A.Brandon@open.ac.uk</t>
  </si>
  <si>
    <t>Brandon, Mark A/A-5804-2010; murphy, eugene/GZL-1620-2022</t>
  </si>
  <si>
    <t>C10</t>
  </si>
  <si>
    <t>10.1029/2000JC900098</t>
  </si>
  <si>
    <t>364YE</t>
  </si>
  <si>
    <t>WOS:000089921000005</t>
  </si>
  <si>
    <t>Boger, SD; Carson, CJ; Wilson, CJL; Fanning, CM</t>
  </si>
  <si>
    <t>Neoproterozoic deformation in the Radok Lake region of the northern Prince Charles Mountains, east Antarctica; evidence for a single protracted orogenic event</t>
  </si>
  <si>
    <t>PRECAMBRIAN RESEARCH</t>
  </si>
  <si>
    <t>northern Prince Charles Mountains; east Antarctica; granulites; Rodinia; Gondwana; orogenesis</t>
  </si>
  <si>
    <t>PB ZIRCON AGE; PROTEROZOIC MOBILE BELT; SRI-LANKA; PRYDZ-BAY; GONDWANA RECONSTRUCTION; METAVOLCANIC ROCKS; CRUSTAL EVOLUTION; MACROBERTSON-LAND; LARSEMANN HILLS; MOZAMBIQUE BELT</t>
  </si>
  <si>
    <t>Ion microprobe dating of structurally constrained felsic intrusives indicate that the rocks of the northern Prince Charles Mountains (nPCMs) were deformed during a single, long-lived Neoproterozoic tectonic event. Deformation evolved through four progressively more discrete phases in response to continuous north-south directed compression. In the study area (Radok Lake), voluminous granite intrusion occurred at similar to 990 Ma, contemporaneous with regionally extensive magmatism, peak metamorphism, and sub-horizontal shearing and recumbent folding. Subsequent upright folding and shear zone development occurred at similar to 940 Ma, while new zircon growth at similar to 900 Ma constrains a final phase of deformation that was accommodated along low-angle mylonites and pseudotachylites. This final period of deformation was responsible for the allochthonous emplacement of granulites over mid-amphibolite facies rocks in the nPCMs. The age constraints placed on the timing of deformation by this study preclude the high-grade reworking of the nPCMs as is postulated in some of the recent literature. Furthermore, 990-900 Ma orogenesis in the nPCMs is at least 50 Myr younger than that recognised in other previously correlated Grenville aged orogenic belts found in Australia, east Africa and other parts of the Antarctic. This distinct age difference implies that these belts are probably not correlatable, as has been previously suggested in reconstructions of the supercontinent Rodinia. (C) 2000 Elsevier Science B.V. All rights reserved.</t>
  </si>
  <si>
    <t>Univ Melbourne, Sch Earth Sci, Parkville, Vic 3010, Australia; Yale Univ, Dept Geol &amp; Geophys, New Haven, CT 06511 USA; Australian Natl Univ, Res Sch Earth Sci, Canberra, ACT 0200, Australia</t>
  </si>
  <si>
    <t>University of Melbourne; Yale University; Australian National University</t>
  </si>
  <si>
    <t>Boger, SD (corresponding author), Univ Melbourne, Sch Earth Sci, Parkville, Vic 3010, Australia.</t>
  </si>
  <si>
    <t>Boger, Steven/B-8799-2013; Carson, Christopher J. J/M-8795-2014; Fanning, Christopher Mark/I-6449-2016</t>
  </si>
  <si>
    <t>Boger, Steven/0000-0003-0739-6266; Fanning, Christopher Mark/0000-0003-3331-3145</t>
  </si>
  <si>
    <t>0301-9268</t>
  </si>
  <si>
    <t>PRECAMBRIAN RES</t>
  </si>
  <si>
    <t>Precambrian Res.</t>
  </si>
  <si>
    <t>10.1016/S0301-9268(00)00079-6</t>
  </si>
  <si>
    <t>358FB</t>
  </si>
  <si>
    <t>WOS:000089546200001</t>
  </si>
  <si>
    <t>Copley, J</t>
  </si>
  <si>
    <t>Tainted wilderness - Humans have left their radioactive mark on the Antarctic</t>
  </si>
  <si>
    <t>NEW SCIENTIST</t>
  </si>
  <si>
    <t>News Item</t>
  </si>
  <si>
    <t>Copley, Jon/I-7076-2012</t>
  </si>
  <si>
    <t>Copley, Jon/0000-0003-3333-4325</t>
  </si>
  <si>
    <t>NEW SCIENTIST PUBL EXPEDITING INC</t>
  </si>
  <si>
    <t>ELMONT</t>
  </si>
  <si>
    <t>200 MEACHAM AVE, ELMONT, NY 11003 USA</t>
  </si>
  <si>
    <t>0262-4079</t>
  </si>
  <si>
    <t>NEW SCI</t>
  </si>
  <si>
    <t>New Sci.</t>
  </si>
  <si>
    <t>OCT 14</t>
  </si>
  <si>
    <t>363HL</t>
  </si>
  <si>
    <t>WOS:000089829600008</t>
  </si>
  <si>
    <t>Boyd, PW; Watson, AJ; Law, CS; Abraham, ER; Trull, T; Murdoch, R; Bakker, DCE; Bowie, AR; Buesseler, KO; Chang, H; Charette, M; Croot, P; Downing, K; Frew, R; Gall, M; Hadfield, M; Hall, J; Harvey, M; Jameson, G; LaRoche, J; Liddicoat, M; Ling, R; Maldonado, MT; McKay, RM; Nodder, S; Pickmere, S; Pridmore, R; Rintoul, S; Safi, K; Sutton, P; Strzepek, R; Tanneberger, K; Turner, S; Waite, A; Zeldis, J</t>
  </si>
  <si>
    <t>A mesoscale phytoplankton bloom in the polar Southern Ocean stimulated by iron fertilization</t>
  </si>
  <si>
    <t>NATURE</t>
  </si>
  <si>
    <t>EQUATORIAL PACIFIC-OCEAN; SUB-ARCTIC PACIFIC; ANTARCTIC CIRCUMPOLAR CURRENT; MARINE-PHYTOPLANKTON; SULFUR-HEXAFLUORIDE; ATMOSPHERIC CO2; NEW-ZEALAND; CARBON; LIGHT; LIMITATION</t>
  </si>
  <si>
    <t>Changes in iron supply to oceanic plankton are thought to have a significant effect on concentrations of atmospheric carbon dioxide by altering rates of carbon sequestration, a theory known as the `iron hypothesis'. For this reason, it is important to understand the response of pelagic biota to increased iron supply. Here we report the results of a mesoscale iron fertilization experiment in the polar Southern Ocean, where the potential to sequester iron-elevated algal carbon is probably greatest. Increased iron supply led to elevated phytoplankton biomass and rates of photosynthesis in surface waters, causing a large drawdown of carbon dioxide and macronutrients, and elevated dimethyl sulphide levels after 13 days. This drawdown was mostly due to the proliferation of diatom stocks. But downward export of biogenic carbon was not increased. Moreover, satellite observations of this massive bloom 30 days later, suggest that a sufficient proportion of the added iron was retained in surface waters. Our findings demonstrate that iron supply controls phytoplankton growth and community composition during summer in these polar Southern Ocean waters, but the fate of algal carbon remains unknown and depends on the interplay between the processes controlling export, remineralisation and timescales of water mass subduction.</t>
  </si>
  <si>
    <t>Univ E Anglia, Sch Environm Sci, Norwich NR4 7TJ, Norfolk, England; Plymouth Marine Lab, Plymouth PL1 3DH, Devon, England; Natl Inst Water &amp; Atmosphere, Wellington, New Zealand; Univ Tasmania, Antarctic Cooperat Res Ctr, Hobart, Tas 7001, Australia; Univ Plymouth, Dept Environm Sci, Drake Circus, Plymouth PL4 8AA, Devon, England; Woods Hole Oceanog Inst, Dept Marine Chem &amp; Geochem MS25, Woods Hole, MA 02543 USA; Netherlands Inst Sea Res, Dept Marine Chem &amp; Geol, NL-1790 AB Den Burg, Netherlands; Univ Otago, Dept Chem, Dunedin, New Zealand; Natl Inst Water &amp; Atmosphere, Christchurch, New Zealand; Natl Inst Water &amp; Atmosphere, Hamilton, New Zealand; Univ Kiel, Inst Meereskunde, D-24105 Kiel, Germany; McGill Univ, Dept Biol, Montreal, PQ H2T 2V8, Canada; Bowling Green State Univ, Dept Biol Sci, Bowling Green, OH 43403 USA; CSIRO, Div Marine Res, Hobart, Tas 7001, Australia; Univ British Columbia, Dept Bot, Vancouver, BC V6T 1Z4, Canada; Univ British Columbia, Dept Oceanog, Vancouver, BC V6T 1Z4, Canada; Univ Western Australia, Dept Environm Engn, Ctr Water Res, Nedlands, WA 6907, Australia</t>
  </si>
  <si>
    <t>University of East Anglia; Plymouth Marine Laboratory; National Institute of Water &amp; Atmospheric Research (NIWA) - New Zealand; University of Tasmania; University of Plymouth; Woods Hole Oceanographic Institution; Utrecht University; Royal Netherlands Institute for Sea Research (NIOZ); University of Otago; National Institute of Water &amp; Atmospheric Research (NIWA) - New Zealand; National Institute of Water &amp; Atmospheric Research (NIWA) - New Zealand; University of Kiel; McGill University; University System of Ohio; Bowling Green State University; Commonwealth Scientific &amp; Industrial Research Organisation (CSIRO); University of British Columbia; University of British Columbia; University of Western Australia</t>
  </si>
  <si>
    <t>Boyd, PW (corresponding author), Univ Otago, Dept Chem, Natl Inst Water &amp; Atmosphere, Ctr Chem &amp; Phys Oceanog, POB 56, Dunedin, New Zealand.</t>
  </si>
  <si>
    <t>LaRoche, Julie/A-1109-2010; Croot, Peter/C-8460-2009; Trull, Tom W/B-7028-2014; Abraham, Edward R/D-7422-2011; Croot, Peter/U-5296-2019; Frew, Russell/I-5591-2012; McKay, Robert Michael/P-3759-2017; Strzepek, Robert Francis/GQH-8703-2022; Frew, Russell/HDN-6138-2022; Rintoul, Stephen R/A-1471-2012; Charette, Matthew/I-9495-2012; Harvey, Mike/A-5354-2010; Maldonado, Maria T/N-2877-2017; Bakker, Dorothee/E-4951-2015; Boyd, Philip/J-7624-2014; Bowie, Andrew/C-8677-2013; Waite, Anya/A-5492-2015</t>
  </si>
  <si>
    <t>Croot, Peter/0000-0003-1396-0601; Abraham, Edward R/0000-0003-4490-6704; Frew, Russell/0000-0002-6138-2116; McKay, Robert Michael/0000-0003-2723-5371; Strzepek, Robert Francis/0000-0002-6442-7121; Rintoul, Stephen R/0000-0002-7055-9876; Harvey, Mike/0000-0002-0979-0227; Maldonado, Maria T/0000-0001-8134-9375; Bakker, Dorothee/0000-0001-9234-5337; Law, Cliff/0000-0002-7669-2475; LaRoche, Julie/0000-0003-4809-6411; Boyd, Philip/0000-0001-7850-1911; Watson, Andrew/0000-0002-9654-8147; Bowie, Andrew/0000-0002-5144-7799; Safi, Karl/0000-0002-7785-1909; Waite, Anya/0000-0003-2965-0296; Sutton, Phil/0000-0003-2936-0918</t>
  </si>
  <si>
    <t>MACMILLAN PUBLISHERS LTD</t>
  </si>
  <si>
    <t>PORTERS SOUTH, 4 CRINAN ST, LONDON N1 9XW, ENGLAND</t>
  </si>
  <si>
    <t>0028-0836</t>
  </si>
  <si>
    <t>Nature</t>
  </si>
  <si>
    <t>OCT 12</t>
  </si>
  <si>
    <t>10.1038/35037500</t>
  </si>
  <si>
    <t>362JB</t>
  </si>
  <si>
    <t>WOS:000089773900031</t>
  </si>
  <si>
    <t>Stone, JO</t>
  </si>
  <si>
    <t>Air pressure and cosmogenic isotope production</t>
  </si>
  <si>
    <t>CL-36 PRODUCTION; DRY-VALLEYS; PRODUCTION-RATES; EXPOSURE AGES; SIRIUS GROUP; ICE-SHEET; BE-10; ANTARCTICA; EROSION; AL-26</t>
  </si>
  <si>
    <t>The cosmic ray flux increases at higher altitude as air pressure and the shielding effect of the atmosphere decrease. Altitude-dependent scaling factors are required to compensate for this effect in calculating cosmic ray exposure ages. Scaling factors in current use assume a uniform relationship between altitude and atmospheric pressure over the Earth's surface. This masks regional differences in mean annual pressure and spatial variation in cosmogenic isotope production rates. Outside Antarctica, air pressures over land depart from the standard atmosphere by +/-4.4 hPa (1 sigma) near sea level, corresponding to offsets of +/-3-4% in isotope production rates. Greater offsets occur in regions of persistent high and low pressure such as Siberia and Iceland, where conventional scaling factors predict production rates in error by +/-10%. The largest deviations occur over Antarctica where ground level pressures are 20-40 hPa lower than the standard atmosphere at all altitudes. Isotope production rates in Antarctica are therefore 25-30% higher than values calculated by scaling Northern. Hemisphere production rates with conventional scaling factors. Exposure ages of old Antarctic surfaces, especially those based on cosmogenic radionuclides at levels close to saturation, may be millions of years younger than published estimates.</t>
  </si>
  <si>
    <t>Univ Washington, Quaternary Res Ctr, Seattle, WA 98195 USA; Univ Washington, Dept Geol Sci, Seattle, WA 98195 USA</t>
  </si>
  <si>
    <t>Stone, JO (corresponding author), Univ Washington, Quaternary Res Ctr, Box 351360, Seattle, WA 98195 USA.</t>
  </si>
  <si>
    <t>stone@geology.washington.edu</t>
  </si>
  <si>
    <t>OCT 10</t>
  </si>
  <si>
    <t>B10</t>
  </si>
  <si>
    <t>10.1029/2000JB900181</t>
  </si>
  <si>
    <t>364MG</t>
  </si>
  <si>
    <t>WOS:000089895700027</t>
  </si>
  <si>
    <t>Antolik, M; Kaverina, A; Dreger, DS</t>
  </si>
  <si>
    <t>Compound rupture of the great 1998 Antarctic plate earthquake</t>
  </si>
  <si>
    <t>ANOMALOUS EARTHQUAKES; MECHANISMS; VOLCANO; EVENT</t>
  </si>
  <si>
    <t>The March 25, 1998, Antarctic plate earthquake ruptured a portion of the Antarctic plate more than 200 km west of its boundary with the Australian plate. The Harvard centroid moment tensor solution indicates that the earthquake was primarily a strike-slip event, but the large non-double-couple component of the moment tensor suggests considerable complexity in the rupture process. We use a finite fault inversion method to determine details of the rupture process from teleseismic body waves recorded by the Global Seismic Network. The P waves are poorly fit by one or more subevents having only a strike-slip mechanism. We find that the presence of a large oblique-normal faulting subevent located to the east of the hypocenter is necessary to improve the fit. This subevent combines with a larger strike-slip subevent to the west to comprise the main moment release in the earthquake and is the cause of the large non-double-couple component in the long-period focal mechanism. The earthquake exhibited very high slip and high stress drop compared with most interplate strike-slip events and the rupture was largely confined to the upper 15-20 km of the lithosphere. Both constituent focal mechanisms indicate that this part of the Antarctic plate is under NW-SE oriented tension, although the origin of these stresses is unknown.</t>
  </si>
  <si>
    <t>Harvard Univ, Dept Earth &amp; Planetary Sci, Cambridge, MA 02138 USA; Univ Calif Berkeley, Seismol Lab, Berkeley, CA 94720 USA</t>
  </si>
  <si>
    <t>Harvard University; University of California System; University of California Berkeley</t>
  </si>
  <si>
    <t>Antolik, M (corresponding author), Harvard Univ, Dept Earth &amp; Planetary Sci, 20 Oxford St, Cambridge, MA 02138 USA.</t>
  </si>
  <si>
    <t>antolik@seismology.harvard.edu; asya@seismo.berkeley.edu; dreger@seismo.berkeley.edu</t>
  </si>
  <si>
    <t>Dreger, Douglas/AAK-6067-2021</t>
  </si>
  <si>
    <t>Dreger, Douglas/0000-0002-6590-3089</t>
  </si>
  <si>
    <t>10.1029/2000JB900246</t>
  </si>
  <si>
    <t>WOS:000089895700033</t>
  </si>
  <si>
    <t>Kaledin, AL; Morokuma, K</t>
  </si>
  <si>
    <t>An ab initio direct-trajectory study of the photodissociation of ClOOCl</t>
  </si>
  <si>
    <t>JOURNAL OF CHEMICAL PHYSICS</t>
  </si>
  <si>
    <t>CHLORINE-OXYGEN COMPOUNDS; GAUSSIAN BASIS FUNCTIONS; ANTARCTIC OZONE HOLE; FIRST-ROW ATOMS; MOLECULAR CALCULATIONS; VIBRATIONAL-SPECTRA; PERTURBATION-THEORY; PEROXIDE CLOOCL; SELF-REACTION; WAVE-FUNCTION</t>
  </si>
  <si>
    <t>The photodissociation of chlorine peroxide, ClOOCl, is studied with classical trajectories where the energy and gradient are computed on the fly by means of the state-averaged (sa) complete active space self-consistent field (CASSCF) with the DZP(+) basis set. We show that six electronically excited states are involved in the process of decomposition, which proceeds via several competing pathways and at least three electronically unique fragment channels. The problem is treated in four-dimensional (4D) (C-2 constraint) and five-dimensional (5D) (planar constraint) frameworks in order to model the mechanisms of synchronous and asynchronous or stepwise dissociation, respectively. A single trajectory with the initial conditions of a nonvibrating, nonrotating molecule is propagated on each excited state surface for an average time of 10 fs for the purposes of determining the early stages of bond breaking. We show that even in such a short propagation time the pathway competition can be more or less unambiguously understood. The results indicate that in the regime of a 308 nm photolysis, the major dissociation fragments are Cl atoms and O-2 molecules, both in the ground state. The higher energy regime of a 248 nm photoexcitation yields additional fragments, e.g., ClO(X (2)Pi), O(P-3) and ClOO(X (2)A,1 (2)A'). We have achieved an overall qualitative agreement with experiment that more than 70% of the available energy is transferred into the translational energy of the products for the case of the synchronous concerted dissociation. In all the cases, the rotational excitation of produced molecular oxygen is very high, while its vibration is in v=0. Implications of the results on the stratospheric ozone depletion cycle are also presented. (C) 2000 American Institute of Physics. [S0021-9606(00)30238-0].</t>
  </si>
  <si>
    <t>Emory Univ, Dept Chem, Atlanta, GA 30322 USA; Emory Univ, Cherry L Emerson Ctr Sci Computat, Atlanta, GA 30322 USA</t>
  </si>
  <si>
    <t>Emory University; Emory University</t>
  </si>
  <si>
    <t>Kaledin, AL (corresponding author), Emory Univ, Dept Chem, Atlanta, GA 30322 USA.</t>
  </si>
  <si>
    <t>0021-9606</t>
  </si>
  <si>
    <t>J CHEM PHYS</t>
  </si>
  <si>
    <t>J. Chem. Phys.</t>
  </si>
  <si>
    <t>OCT 8</t>
  </si>
  <si>
    <t>PII [S0021-9606(00)30238-0]</t>
  </si>
  <si>
    <t>10.1063/1.1290606</t>
  </si>
  <si>
    <t>357WU</t>
  </si>
  <si>
    <t>WOS:000089524400018</t>
  </si>
  <si>
    <t>McNamara, JP; Hillier, IH</t>
  </si>
  <si>
    <t>The facile hydrolysis of chlorine nitrate in aqueous sulfate aerosols</t>
  </si>
  <si>
    <t>CHEMICAL PHYSICS LETTERS</t>
  </si>
  <si>
    <t>SMALL WATER CLUSTERS; SULFURIC-ACID; NITRIC-ACID; AB-INITIO; HETEROGENEOUS REACTIONS; ANTARCTIC STRATOSPHERE; ELECTRONIC-STRUCTURE; CLOUD FORMATION; OZONE HOLE; CLONO2</t>
  </si>
  <si>
    <t>High level electronic structure calculations show that chlorine nitrate is readily hydrolysed in aqueous sulfate aerosols. For the reaction catalysed by H2SO4 and three water molecules, the reaction products involve H3O+NO3-/H2SO4/HOCl. Catalysis by HSO4- leads to an essentially spontaneous reaction, where the reaction products involve NO3-/H2SO4/HOCl or HONO2/HSO4-/HOCl depending on the size of the water cluster. (C) 2000 Elsevier Science B.V. All rights reserved.</t>
  </si>
  <si>
    <t>Univ Manchester, Dept Chem, Manchester M13 9PL, Lancs, England</t>
  </si>
  <si>
    <t>University of Manchester</t>
  </si>
  <si>
    <t>Univ Manchester, Dept Chem, Oxford Rd, Manchester M13 9PL, Lancs, England.</t>
  </si>
  <si>
    <t>ian.hillier@man.ac.uk</t>
  </si>
  <si>
    <t>0009-2614</t>
  </si>
  <si>
    <t>1873-4448</t>
  </si>
  <si>
    <t>CHEM PHYS LETT</t>
  </si>
  <si>
    <t>Chem. Phys. Lett.</t>
  </si>
  <si>
    <t>OCT 6</t>
  </si>
  <si>
    <t>4-6</t>
  </si>
  <si>
    <t>10.1016/S0009-2614(00)00950-7</t>
  </si>
  <si>
    <t>363LE</t>
  </si>
  <si>
    <t>WOS:000089836500027</t>
  </si>
  <si>
    <t>Huybrechts, T; Dewulf, J; Moerman, O; Van Langenhove, H</t>
  </si>
  <si>
    <t>Evaluation of purge-and-trap-high-resolution gas chromatography-mass spectrometry for the determination of 27 volatile organic compounds in marine water at the ng l-1 concentration level</t>
  </si>
  <si>
    <t>JOURNAL OF CHROMATOGRAPHY A</t>
  </si>
  <si>
    <t>water analysis; environmental analysis; quality assurance; quality control; validation; interlaboratory study; purge-and-trap methods; sample handling; volatile organic compounds</t>
  </si>
  <si>
    <t>MONOCYCLIC AROMATIC-HYDROCARBONS; ANTARCTIC SURFACE WATERS; NATURAL-WATERS; MEMBRANE; HALOCARBONS; CHLOROFORM; SEAWATER; SAMPLES; PRECONCENTRATION; PERFORMANCE</t>
  </si>
  <si>
    <t>Purge-and-trap combined with high-resolution gas chromatography and detection by mass spectrometry was evaluated for the analysis of 27 volatile organic compounds (VOCs) in marine water samples down to ng l(-1) concentration levels. The target compounds included chlorinated alkanes and alkenes, monocyclic aromatic hydrocarbons and chlorinated monocyclic aromatic hydrocarbons and covered a wide range of VOCs of environmental interest. Limits of detection ranged from 0.15 ng l(-1) to 6.57 ng l(-1) for all VOCs, except for dichloromethane (41.07 ng l(-1)), chloroform (19.74 ng l(-1)), benzene (22.05 ng l(-1)) and 1,4-dichlorobenzene (20.43 ng l(-1)), Precision and accuracy were determined at a concentration level of 25.97 to 66.68 ng l(-1). Besides method validation, emphasis was put on quality control and assessment during routine determination of VOCs in marine water samples. Analytical quality control charts were plotted for all VOCs and a standard addition test was performed, as proposed by the QUASIMEME (Quality Assurance of Information in Marine Environmental Monitoring Programmes in Europe) working group. The analytical charts were incorporated in a working scheme containing guidelines to be applied during routine determinations, ensuring the long time reliability of the analytical method. Results yielded by the QUASIMEME interlaboratory exercise on organohalogen measurements in seawater are presented. The exercise was attended by seven out of eight laboratories who agreed to participate. Samples taken along the Scheldt estuary, from Breskens (The Netherlands) to Temse (Antwerp, Belgium) were analysed according to the developed technique. Concentrations as low as 0.33 ng l(-1) (1,2-dichloropropane) were detected near the mouth of the river Scheldt, while concentrations up to 326 ng l(-1) for tetrachloroethene and 461 ng l(-1) for cyclohexane were found in the vicinity of Antwerp. (C) 2000 Elsevier Science B.V. All rights reserved.</t>
  </si>
  <si>
    <t>State Univ Ghent, Fac Agr &amp; Appl Biol Sci, Dept Organ Chem, B-9000 Ghent, Belgium</t>
  </si>
  <si>
    <t>Ghent University</t>
  </si>
  <si>
    <t>Van Langenhove, H (corresponding author), State Univ Ghent, Fac Agr &amp; Appl Biol Sci, Dept Organ Chem, Coupure Links 653, B-9000 Ghent, Belgium.</t>
  </si>
  <si>
    <t>Dewulf, Jo/HPG-9407-2023</t>
  </si>
  <si>
    <t>0021-9673</t>
  </si>
  <si>
    <t>J CHROMATOGR A</t>
  </si>
  <si>
    <t>J. Chromatogr. A</t>
  </si>
  <si>
    <t>10.1016/S0021-9673(00)00771-8</t>
  </si>
  <si>
    <t>Biochemical Research Methods; Chemistry, Analytical</t>
  </si>
  <si>
    <t>Biochemistry &amp; Molecular Biology; Chemistry</t>
  </si>
  <si>
    <t>358MT</t>
  </si>
  <si>
    <t>WOS:000089562400013</t>
  </si>
  <si>
    <t>Marshall, DJ; Pugh, PJA</t>
  </si>
  <si>
    <t>Two new species of Schusteria (Acari: Oribatida: Ameronothroidea) from marine shores in southern Africa</t>
  </si>
  <si>
    <t>AFRICAN ZOOLOGY</t>
  </si>
  <si>
    <t>Ameronothroidea; marine mites; Oribatida; Schusteria; taxonomy</t>
  </si>
  <si>
    <t>HYADESIIDAE; ASTIGMATA</t>
  </si>
  <si>
    <t>Oribatid mites are typically terrestrial, though many species of Ameronothroidea are marine intertidal. Marine ameronothroids are cosmopolitan with genera being endemic to the Holarctic, sub-Antarctic, or equatorial Indo-Pacific and tropical Atlantic regions. Recent collections from rocky-shores and mangroves of the subtropical east coast of southern Africa (South Africa and Mozambique) contained specimens of the hitherto monospecific genus, Schusteria Grandjean, 1968, one of ten genera from four families of marine ameronothroid. This article describes two new Schusteria species, S. ugraseni n.sp and S. melanomerus n.sp., and compares them with the known species, S. littorea Grandjean, 1968.</t>
  </si>
  <si>
    <t>Univ Durban Westville, Dept Zool, ZA-4000 Durban, South Africa; British Antarctic Survey, Cambridge CB3 0ET, England</t>
  </si>
  <si>
    <t>University of Kwazulu Natal; UK Research &amp; Innovation (UKRI); Natural Environment Research Council (NERC); NERC British Antarctic Survey</t>
  </si>
  <si>
    <t>Marshall, DJ (corresponding author), Univ Durban Westville, Dept Zool, Private Bag X54001, ZA-4000 Durban, South Africa.</t>
  </si>
  <si>
    <t>ZOOLOGICAL SOC SOUTHERN AFRICA</t>
  </si>
  <si>
    <t>SCOTTSVILLE</t>
  </si>
  <si>
    <t>AFRICAN ZOOLOGY CIRCULATION OFFICE, UNIV KWAZULU-NATAL, SCHOOL BIOL &amp; CONSERVATION SCI, P B X01, SCOTTSVILLE 3209, SOUTH AFRICA</t>
  </si>
  <si>
    <t>1562-7020</t>
  </si>
  <si>
    <t>AFR ZOOL</t>
  </si>
  <si>
    <t>Afr. Zool.</t>
  </si>
  <si>
    <t>OCT</t>
  </si>
  <si>
    <t>453GD</t>
  </si>
  <si>
    <t>WOS:000169907400006</t>
  </si>
  <si>
    <t>French, WJR; Burns, GB; Finlayson, K; Greet, PA; Lowe, RP; Williams, PFB</t>
  </si>
  <si>
    <t>Hydroxyl (6-2) airglow emission intensity ratios for rotational temperature determination</t>
  </si>
  <si>
    <t>atmospheric composition and structure; airglow and aurora; pressure, density and temperature</t>
  </si>
  <si>
    <t>SPECTROGRAPH WAVELENGTH CALIBRATION; RESOLUTION SPECTRAL ATLAS; TRANSITION-PROBABILITIES; NIGHT AIRGLOW; OH; MESOPAUSE; BANDS; LINES</t>
  </si>
  <si>
    <t>OH(6-2) Q(1)/P-1 and R-1/P-1 airglow emission intensity ratios, for rotational states up to j' = 4.5, are measured to be lower than implied by transition probabilities published by various authors including Mies, Langhoff et al. and Turnbull and Lowe. Experimentally determined relative values of j' transitions yield OH(6-2) rotational temperatures 2 K lower than Langhoff et al., 7 K lower than Mies and 13 K lower than Turnbull and Lowe.</t>
  </si>
  <si>
    <t>Australian Antarctic Div, Kingston, Tas 7050, Australia; Univ Tasmania, Inst Antarctic &amp; So Ocean Studies, Hobart, Tas 7000, Australia; Univ Western Ontario, Inst Space &amp; Terr Sci, London, ON N6A 3K7, Canada</t>
  </si>
  <si>
    <t>Australian Antarctic Division; University of Tasmania; Western University (University of Western Ontario)</t>
  </si>
  <si>
    <t>Burns, GB (corresponding author), Australian Antarctic Div, Channel Highway, Kingston, Tas 7050, Australia.</t>
  </si>
  <si>
    <t>French, John/0000-0001-9305-6190</t>
  </si>
  <si>
    <t>10.1007/s00585-000-1293-2</t>
  </si>
  <si>
    <t>370PH</t>
  </si>
  <si>
    <t>WOS:000165131100004</t>
  </si>
  <si>
    <t>Hovenden, MJ</t>
  </si>
  <si>
    <t>Seasonal trends in nitrogen status of Antarctic lichens</t>
  </si>
  <si>
    <t>ANNALS OF BOTANY</t>
  </si>
  <si>
    <t>lichen; nitrogen; Antarctica; season; Usnea sphacelata; Umbilicaria decussata</t>
  </si>
  <si>
    <t>CONTINENTAL ANTARCTICA; WILKES-LAND; WINDMILL ISLANDS; MACROLICHEN; COMMUNITIES; WATER</t>
  </si>
  <si>
    <t>The thallus nitrogen (N) concentration of two dominant macrolichens of continental Antarctica (Usnea sphacelata and Umbilicaria decussata) was estimated each month for 1 year on a low rounded knell on Clark Peninsula, Windmill islands, Wilkes Land, Antarctica. Thallus N was significantly higher in Umbilicaria decussata than in Usnea sphacelata and varied according to site. During the winter months, when the lichens were metabolically inactive, thalli gradually accumulated N. At the onset of warmer conditions, thallus N content fell dramatically in both species, with the timing of the decline being related to microclimatic conditions. The strongly seasonal pattern of metabolic activity in these species is reflected in their nitrogen relations. (C) 2000 Annals of Botany Company.</t>
  </si>
  <si>
    <t>Univ Tasmania, Sch Plant Sci, Hobart, Tas 7001, Australia</t>
  </si>
  <si>
    <t>Hovenden, MJ (corresponding author), Univ Tasmania, Sch Plant Sci, GPO Box 252-55, Hobart, Tas 7001, Australia.</t>
  </si>
  <si>
    <t>Hovenden, Mark/A-1323-2008</t>
  </si>
  <si>
    <t>Hovenden, Mark/0000-0001-7208-9700</t>
  </si>
  <si>
    <t>0305-7364</t>
  </si>
  <si>
    <t>ANN BOT-LONDON</t>
  </si>
  <si>
    <t>Ann. Bot.</t>
  </si>
  <si>
    <t>10.1006/anbo.2000.1248</t>
  </si>
  <si>
    <t>359EY</t>
  </si>
  <si>
    <t>WOS:000089599600002</t>
  </si>
  <si>
    <t>Calvo, N; Durany, J; Vázquez, C</t>
  </si>
  <si>
    <t>Numerical computation of ice sheet profiles with free boundary models</t>
  </si>
  <si>
    <t>APPLIED NUMERICAL MATHEMATICS</t>
  </si>
  <si>
    <t>ice sheet profile; moving boundary problems; finite elements; duality methods</t>
  </si>
  <si>
    <t>FLOWS</t>
  </si>
  <si>
    <t>The aim of this work is to develop a numerical method to solve a moving boundary problem governed by a time dependent nonlinear convection-diffusion equation. The mathematical formulation can be framed as a nonlinear parabolic complementarity problem. The model has recently been used to compute ice sheet profiles in theoretical glaciology. After describing the mathematical model of the ice sheet motion and the corresponding dimensionless equations, the proposed numerical method involves an upwind scheme for time semidiscretization, fixed point method for the nonlinear diffusion term, finite elements approximation in space and a duality type algorithm for solving the obstacle like problem at each step. Finally, several numerical simulation examples involving real data sets issued from the Antarctic ice sheet are shown.</t>
  </si>
  <si>
    <t>Univ Vigo, Dept Math Appl, ETSI Telecommun, Vigo 36280, Spain; Univ A Coruna, Fac Informat, Dept Math, A Coruna 15071, Spain</t>
  </si>
  <si>
    <t>Universidade de Vigo; Universidade da Coruna</t>
  </si>
  <si>
    <t>Durany, J (corresponding author), Univ Vigo, Dept Math Appl, ETSI Telecommun, Campus Marosende S-N, Vigo 36280, Spain.</t>
  </si>
  <si>
    <t>; Vazquez, Carlos/K-5498-2016</t>
  </si>
  <si>
    <t>Durany, Jose/0000-0002-8585-6523; Vazquez, Carlos/0000-0001-6591-2252</t>
  </si>
  <si>
    <t>0168-9274</t>
  </si>
  <si>
    <t>APPL NUMER MATH</t>
  </si>
  <si>
    <t>Appl. Numer. Math.</t>
  </si>
  <si>
    <t>10.1016/S0168-9274(99)00052-5</t>
  </si>
  <si>
    <t>360DE</t>
  </si>
  <si>
    <t>WOS:000089650500002</t>
  </si>
  <si>
    <t>Newton, E; Edwards, HGM; Wynn-Williams, D; Hiscox, JA</t>
  </si>
  <si>
    <t>Exobiological prospecting</t>
  </si>
  <si>
    <t>ASTRONOMY &amp; GEOPHYSICS</t>
  </si>
  <si>
    <t>MARS; LIFE; EVOLUTION; SEARCH; EUROPA; WATER; ATP</t>
  </si>
  <si>
    <t>Several emerging technologies are being investigated for detecting potential extraterrestrial microbial life, either extinct and/or extant (living). These technologies are particularly relevant for future exobiological searches on Mars and Europa, the two most promising candidates in this solar system for harbouring extraterrestrial life. Two systems are discussed: ATP measurement and Raman spectroscopy. In particular, experiments are described in which samples from Antarctica (an analogue environment for ancient Mars) have been analysed using Raman spectroscopy. This technology is perhaps the most versatile for searching for both extinct and extant organisms.</t>
  </si>
  <si>
    <t>Univ Reading, Sch Anim &amp; Microbial Sci, Reading RG6 6AJ, Berks, England; Univ Bradford, Bradford BD7 1DP, W Yorkshire, England; British Antarctic Survey, Cambridge CB3 0ET, England</t>
  </si>
  <si>
    <t>University of Reading; University of Bradford; UK Research &amp; Innovation (UKRI); Natural Environment Research Council (NERC); NERC British Antarctic Survey</t>
  </si>
  <si>
    <t>Hiscox, JA (corresponding author), Univ Reading, Sch Anim &amp; Microbial Sci, POB 228, Reading RG6 6AJ, Berks, England.</t>
  </si>
  <si>
    <t>1366-8781</t>
  </si>
  <si>
    <t>ASTRON GEOPHYS</t>
  </si>
  <si>
    <t>Astron. Geophys.</t>
  </si>
  <si>
    <t>10.1046/j.1468-4004.2000.41528.x</t>
  </si>
  <si>
    <t>Astronomy &amp; Astrophysics; Geochemistry &amp; Geophysics</t>
  </si>
  <si>
    <t>361AZ</t>
  </si>
  <si>
    <t>WOS:000089700700025</t>
  </si>
  <si>
    <t>Lorentsen, SH; Amundsen, T; Anthonisen, K; Lifjeld, JT</t>
  </si>
  <si>
    <t>Molecular evidence for extrapair paternity and female-female pairs in antarctic petrels</t>
  </si>
  <si>
    <t>AUK</t>
  </si>
  <si>
    <t>SHEARWATER PUFFINUS-TENUIROSTRIS; SOCIALLY MONOGAMOUS BIRD; THALASSOICA-ANTARCTICA; HIGH-FREQUENCY; COPULATIONS; SEX; FERTILIZATIONS; POPULATION; CUCKOLDRY; ASSURANCE</t>
  </si>
  <si>
    <t>Norwegian Inst Nat Res, N-7485 Trondheim, Norway; Norwegian Univ Sci &amp; Technol, Dept Zool, N-7491 Trondheim, Norway; Univ Oslo, Museum Zool, N-0562 Oslo, Norway</t>
  </si>
  <si>
    <t>Norwegian Institute Nature Research; Norwegian University of Science &amp; Technology (NTNU); University of Oslo</t>
  </si>
  <si>
    <t>Lorentsen, SH (corresponding author), Norwegian Inst Nat Res, Tungasletta 2, N-7485 Trondheim, Norway.</t>
  </si>
  <si>
    <t>MacDougall-Shackleton, Scott A/C-6622-2008; Lifjeld, Jan Terje/B-1978-2008</t>
  </si>
  <si>
    <t>MacDougall-Shackleton, Scott A/0000-0001-8518-765X; Lifjeld, Jan Terje/0000-0002-9172-9985</t>
  </si>
  <si>
    <t>AMER ORNITHOLOGISTS UNION</t>
  </si>
  <si>
    <t>ORNITHOLOGICAL SOC NORTH AMER PO BOX 1897, LAWRENCE, KS 66044-8897 USA</t>
  </si>
  <si>
    <t>0004-8038</t>
  </si>
  <si>
    <t>10.1642/0004-8038(2000)117[1042:MEFEPA]2.0.CO;2</t>
  </si>
  <si>
    <t>367PK</t>
  </si>
  <si>
    <t>WOS:000090070500023</t>
  </si>
  <si>
    <t>Russell, GL; Gornitz, V; Miller, JR</t>
  </si>
  <si>
    <t>Regional sea level changes projected by the NASA/GISS Atmosphere-Ocean Model</t>
  </si>
  <si>
    <t>CLIMATE-CHANGE; RISE</t>
  </si>
  <si>
    <t>Sea level has been rising for the past century, and coastal residents of the Earth will want to understand and predict future sea level changes. In this study we present sea level changes from new simulations of the Goddard Institute for Space Studies (GISS) global atmosphere-ocean model fi om 1950 to 2099. The free surface, mass conserving ocean model leads to a straightforward calculation of these changes. Using observed levels of greenhouse gases between 1950 and 1990 and a compounded 0.5% annual increase in CO2 after 1990, model projections show that global sea level measured from 1950 will rise by 61 mm in the year 2000, by 212 mm in 2050, and by 408 mm in 2089. By 2089, 64% of the global sea level rise will be due to thermal expansion and 36% will be due to ocean mass changes. The Arctic Ocean will show a greater than average sea level rise, while the Antarctic circumpolar region will show a smaller rise in agreement with other models. Model results are also compared with observed sea level changes during the past 40 years at 12 coastal stations around the world.</t>
  </si>
  <si>
    <t>NASA, Goddard Inst Space Studies, New York, NY 10025 USA</t>
  </si>
  <si>
    <t>National Aeronautics &amp; Space Administration (NASA); NASA Goddard Space Flight Center; Goddard Institute for Space Studies</t>
  </si>
  <si>
    <t>Russell, GL (corresponding author), NASA, Goddard Inst Space Studies, 2880 Broadway, New York, NY 10025 USA.</t>
  </si>
  <si>
    <t>Russell, Gary/0000-0001-7174-5825</t>
  </si>
  <si>
    <t>10-11</t>
  </si>
  <si>
    <t>10.1007/s003820000090</t>
  </si>
  <si>
    <t>368LD</t>
  </si>
  <si>
    <t>WOS:000090117700005</t>
  </si>
  <si>
    <t>Dezileau, L; Bareille, G; Reyss, JL; Lemoine, F</t>
  </si>
  <si>
    <t>Evidence for strong sediment redistribution by bottom currents along the southeast Indian ridge</t>
  </si>
  <si>
    <t>ANTARCTIC CIRCUMPOLAR CURRENT; GLACIAL-INTERGLACIAL CHANGES; LATE-QUATERNARY CHANGES; ATMOSPHERIC CO2; HIGH-LATITUDE; TH-230 MEASUREMENTS; FRONTAL STRUCTURE; ATLANTIC SECTOR; PACIFIC-OCEAN; WEDDELL-SEA</t>
  </si>
  <si>
    <t>Understanding whether vigorous bottom currents redistribute biogenic components coming from the surface water is critical to evaluating the results from paleoenvironmental reconstructions based on sediment accumulation rates in the Southern Ocean. A large contourite drift along the southern flank of the Southeast Indian Ridge (SEIR) is recognized in published sediment thickness maps. We use the Th-230 method to estimate the contribution of advected sediments to the bulk sediment and rare-earth elements (REE) and trace-element compositions to determine the possible differences in sedimentary origin of the transported material. Magnetic susceptibility and focusing factor distributions suggest that (a) accumulation and sediment redistribution on the contourite drift have occurred throughout the last 40 ka, (b) the lateral transport of biogenous and detrital material represents 50-90% of the input at the foot of the SEIR, and (c) transport was even higher during glacial periods. Both REE profiles and trace-element ratios (La-n/Tb-n and Th/Sc) reveal that during the last glacial period, the terrigenous particles were mainly of volcanogenic origin, i.e., from the Crozet and Kerguelen slopes. The more significant contribution from the volcanic sources during the last glacial maximum is consistent with the action of the Antarctic Circumpolar Current-Circumpolar Deep Water (ACC-CDW). In addition, the formation of this tongue would be strongly linked to the long-term interactions between the Antarctic Bottom Water (AABW) and the ACC-CDW. (C) 2000 Elsevier Science Ltd. All rights reserved.</t>
  </si>
  <si>
    <t>CEA, CNRS, Lab Sci Climat &amp; Environm, F-91198 Gif Sur Yvette, France; Univ Bordeaux 1, Dept Geol &amp; Oceanog, UA 197, F-33405 Talence, France</t>
  </si>
  <si>
    <t>CEA; Centre National de la Recherche Scientifique (CNRS); Universite Paris Saclay; Universite de Bordeaux</t>
  </si>
  <si>
    <t>Dezileau, L (corresponding author), CEA, CNRS, Lab Sci Climat &amp; Environm, F-91198 Gif Sur Yvette, France.</t>
  </si>
  <si>
    <t>Bareille, Gilles/AAS-3113-2020</t>
  </si>
  <si>
    <t>10.1016/S0967-0637(00)00008-X</t>
  </si>
  <si>
    <t>339GW</t>
  </si>
  <si>
    <t>WOS:000088470100005</t>
  </si>
  <si>
    <t>Ramana, KV; Singh, L</t>
  </si>
  <si>
    <t>Microbial degradation of organic wastes at low temperatures</t>
  </si>
  <si>
    <t>DEFENCE SCIENCE JOURNAL</t>
  </si>
  <si>
    <t>ANAEROBIC TREATMENT; NIGHT SOIL; ANTARCTIC BACTERIA; FATTY-ACIDS; DIGESTION; BIOGAS</t>
  </si>
  <si>
    <t>Microbial degradation of organic wastes mainly comprising animal and human wastes, is drastically reduced at extreme low temperatures. For the biodegradation of these wastes, technological inputs are required from disciplines like microbiology, biochemistry, molecular biology, digester modelling and heat transfer at extreme low temperature climates. Various steps in the process of biodegradation have to be studied to formulate an effective organic waste disposal method. Anaerobic digestion of organic wastes is preferred over aerobic waste treatment method, since it yields biogas as a by-product, which in turn can be utilised for heating the digester contents to increase its efficiency. Furthermore, one of the possibilities that can be explored is the utilisation of high rate anaerobic digesters which maintain temperature by means of artificial heating. It is either met by non-conventional energy sources, such as solar and wind energy, or by expending liquid fuels. In addition, insulation of the digester with polymeric materials and immobilisation of slow growing bacterial population may enhance the digester performance to a great extent. In spite of several developments, inoculum adaptation is considered to be one of the essential steps for low temperature anaerobic digestion to obtain methane as a by-product. With advancements in recombinant DNA technology, it may be possible to increase the efficiency of various microbial population that take part in the anaerobic digestion. However, till date, the options available for low temperature biodegradation are digester insulation, inoculum adaptation, and use of high rate/second-generation digesters.</t>
  </si>
  <si>
    <t>Def Res &amp; Dev Estab, Gwalior 474002, India</t>
  </si>
  <si>
    <t>Defence Research &amp; Development Organisation (DRDO); Defence Research &amp; Development Establishment (DRDE)</t>
  </si>
  <si>
    <t>Ramana, KV (corresponding author), Def Res &amp; Dev Estab, Gwalior 474002, India.</t>
  </si>
  <si>
    <t>DEFENCE SCIENTIFIC INFORMATION DOCUMENTATION CENTRE</t>
  </si>
  <si>
    <t>DELHI</t>
  </si>
  <si>
    <t>METCALFE HOUSE, DELHI 110054, INDIA</t>
  </si>
  <si>
    <t>0011-748X</t>
  </si>
  <si>
    <t>DEFENCE SCI J</t>
  </si>
  <si>
    <t>Def. Sci. J.</t>
  </si>
  <si>
    <t>10.14429/dsj.50.3748</t>
  </si>
  <si>
    <t>371FD</t>
  </si>
  <si>
    <t>WOS:000165167100004</t>
  </si>
  <si>
    <t>Palmgren, H; McCafferty, D; Aspán, A; Broman, T; Sellin, M; Wollin, R; Bergström, S; Olsen, B</t>
  </si>
  <si>
    <t>Salmonella in sub-Antarctica:: low heterogeneity in salmonella serotypes in South Georgian seals and birds</t>
  </si>
  <si>
    <t>EPIDEMIOLOGY AND INFECTION</t>
  </si>
  <si>
    <t>FIELD GEL-ELECTROPHORESIS; MARINE-ENVIRONMENT; PHAGE TYPE-4; ENTERITIDIS; TYPHIMURIUM; SUBDIVISION; INFECTIONS; PENGUINS; PATTERNS; BACTERIA</t>
  </si>
  <si>
    <t>The number of human visitors to Antarctica is increasing rapidly, and with it a risk of introducing infectious organisms to native animals. To study the occurrence of salmonella serotypes in sub-Antarctic wildlife, faecal samples were collected from gentoo penguins, macaroni penguins, gray-headed albatrosses, black-browed albatrosses and Antarctic fur seals on Bird Island in the South Georgian archipelago during the austral summer of 1996 and 1998. In 1996, S. havana, S. typhimurium and S. enteritidis were isolated from 7% of gentoo penguins and 4% of fur seals. In 1998, however, 22% of fur seals were found to be infected with S. havana, S. enteritidis and S. newport. All isolates, except one, showed identical pulsed-field gel electrophoresis-patterns within each serotype, irrespective of sampling year and animal reservoir. No significant antibiotic resistance was found. The very low heterogeneity in the salmonella isolates found could either indicate a high genetic adaptation of the bacteria to the environment or a recent introduction of salmonella into the area.</t>
  </si>
  <si>
    <t>Umea Univ, Dept Infect Dis, S-90187 Umea, Sweden; Umea Univ, Dept Bacteriol, S-90187 Umea, Sweden; Umea Univ, Dept Microbiol, S-90187 Umea, Sweden; Kalmar Cty Hosp, Dept Infect Dis, S-38195 Kalmar, Sweden; Natl Vet Inst, Dept Bacteriol, SE-75007 Uppsala, Sweden; British Antarctic Survey, NERC, Cambridge CB3 OET, England; Swedish Inst Infect Dis Control, Dept Bacteriol, SE-17182 Solna, Sweden</t>
  </si>
  <si>
    <t>Umea University; Umea University; Umea University; National Veterinary Institute SVA; UK Research &amp; Innovation (UKRI); Natural Environment Research Council (NERC); NERC British Antarctic Survey; Swedish Institute for Infectious Disease Control</t>
  </si>
  <si>
    <t>Olsen, B (corresponding author), LSK, Dept Infect Dis, SE-39185 Kalmar, Sweden.</t>
  </si>
  <si>
    <t>McCafferty, Dominic/0000-0002-3079-3326; Aspan, Anna/0000-0001-6374-1154; Olsen, Bjorn/0000-0002-4646-691X</t>
  </si>
  <si>
    <t>PORT CHESTER</t>
  </si>
  <si>
    <t>110 MIDLAND AVE, PORT CHESTER, NY 10573-4930 USA</t>
  </si>
  <si>
    <t>0950-2688</t>
  </si>
  <si>
    <t>EPIDEMIOL INFECT</t>
  </si>
  <si>
    <t>Epidemiol. Infect.</t>
  </si>
  <si>
    <t>10.1017/S0950268899004586</t>
  </si>
  <si>
    <t>Public, Environmental &amp; Occupational Health; Infectious Diseases</t>
  </si>
  <si>
    <t>422BE</t>
  </si>
  <si>
    <t>WOS:000168097400002</t>
  </si>
  <si>
    <t>Tamburrini, M; Riccio, A; Romano, M; Giardina, B; di Prisco, G</t>
  </si>
  <si>
    <t>Structural and functional analysis of the two haemoglobins of the Antarctic seabird Catharacta maccormicki -: Characterization of an additional phosphate binding site by molecular modelling</t>
  </si>
  <si>
    <t>Antarctica; Bohr effect; haemoglobin; homology modelling; phosphate binding</t>
  </si>
  <si>
    <t>AMINO-ACID-SEQUENCE; NOTOTHENIA-CORIICEPS-NEGLECTA; HUMAN DEOXYHEMOGLOBIN; CRYSTAL-STRUCTURE; OXYGEN-AFFINITY; HEMOGLOBIN; HEXAKISPHOSPHATE; ADAPTATION; PROTEINS; BIRDS</t>
  </si>
  <si>
    <t>The amino-acid sequence and the oxygen-binding properties of the two haemoglobins of the Antarctic seabird south polar skua have been investigated. The two haemoglobins showed peculiar functional features, which were probably acquired to meet special needs in relation to the extreme environmental conditions. Both haemoglobins showed a weak alkaline Bohr effect which, during prolonged flight, may protect against sudden and uncontrolled stripping of oxygen in response to acidosis. We suggest that a weak Bohr effect in birds may reflect adaptation to extreme life conditions. The values of heat of oxygenation suggest different functional roles of the two haemoglobins. The experimental evidence suggests that both haemoglobins may bind phosphate at two distinct binding sites. In fact, analysis of the molecular models revealed that an additional phosphate binding site, formed by residues NA1 alpha, G6 alpha and HC3 alpha, is located between the two cr chains. This additional site may act as an entry/leaving site, thus increasing the probability of capturing phosphate and transferring it to the main binding site located between the two beta chains by means of a site-site migratory mechanism, thereby favouring the release of oxygen. It is suggested that most haemoglobins possess an additional phosphate binding site, having such a role in oxygen transport.</t>
  </si>
  <si>
    <t>CNR, Inst Prot Biochem &amp; Enzymol, I-80125 Naples, Italy; Univ Cattolica Sacro Cuore, Fac Med, Inst Chem &amp; Clin Chem, Rome, Italy</t>
  </si>
  <si>
    <t>Consiglio Nazionale delle Ricerche (CNR); Istituto di Biochimica delle Proteine (IBP-CNR); Catholic University of the Sacred Heart; IRCCS Policlinico Gemelli</t>
  </si>
  <si>
    <t>10.1046/j.1432-1327.2000.01699.x</t>
  </si>
  <si>
    <t>361JC</t>
  </si>
  <si>
    <t>WOS:000089719100031</t>
  </si>
  <si>
    <t>Newsham, KK; Oxborough, K; White, R; Greenslade, PD; McLeod, AR</t>
  </si>
  <si>
    <t>UV-B radiation constrains the photosynthesis of Quercus robur through impacts on the abundance of Microsphaera alphitoides</t>
  </si>
  <si>
    <t>FOREST PATHOLOGY</t>
  </si>
  <si>
    <t>ULTRAVIOLET-B; TERRESTRIAL ECOSYSTEMS; POWDERY MILDEW; NM RADIATION; DISEASE; GROWTH; THREAT</t>
  </si>
  <si>
    <t>Quercus robur saplings were exposed at an outdoor facility in the UK to supplemental levels of UV-B radiation (280-315 nm) under arrays of cellulose diacetate-filtered fluorescent lamps which also produced UV-A radiation(315-400 nm). Saplings were also exposed to supplemental UV-A radiation under arrays of polyester-filtered lamps and to ambient levels of solar radiation under arrays of unenergized lamps. The UV-B treatment was modulated to maintain a 30% elevation above the ambient level of erythemally weighted UV-B radiation. Naturally occurring infections by oak powdery mildew (Microsphaera alphitoides) were more abundant, and developed more rapidly, on lammas leaves of saplings which were exposed to treatment levels of UV-B radiation than on leaves of saplings exposed to supplemental UV-A or to ambient levels of solar radiation over 12 weeks in summer and autumn 1996. An analysis of leaf photosynthetic reduced the quantum efficiency of photosystem capacities revealed that M. alphitoides infection reduced the quantum efficiency of photosynthetic (PS) II by 14% at moderate irradiance. Although there was no direct effect of UV-B radiation on PSII photochemistry, exposure of saplings to supple mental UV-A radiation under polyester-filtered lamps resulted in a 17.5% decrease in PSII quantum efficiency, compared with saplings exposed to ambient solar radiation. The results from our study suggest th at photosynthesis of Q. robur may be constrained by exposure to UV-B radiation in the natural environment through impacts on the abundance of M. alphitoides.</t>
  </si>
  <si>
    <t>Inst Terr Ecol, Monks Wood Expt Stn, Huntingdon PE17 2LS, England; Univ Essex, Dept Biol &amp; Chem Sci, Colchester CO4 3SQ, Essex, England</t>
  </si>
  <si>
    <t>UK Centre for Ecology &amp; Hydrology (UKCEH); University of Essex</t>
  </si>
  <si>
    <t>Newsham, KK (corresponding author), British Antarctic Survey, Madingley Rd, Cambridge CB3 0ET, England.</t>
  </si>
  <si>
    <t>Newsham, Kevin K/C-4192-2011</t>
  </si>
  <si>
    <t>BLACKWELL WISSENSCHAFTS-VERLAG GMBH</t>
  </si>
  <si>
    <t>KURFURSTENDAMM 57, D-10707 BERLIN, GERMANY</t>
  </si>
  <si>
    <t>1437-4781</t>
  </si>
  <si>
    <t>FOREST PATHOL</t>
  </si>
  <si>
    <t>Forest Pathol.</t>
  </si>
  <si>
    <t>Forestry</t>
  </si>
  <si>
    <t>368JJ</t>
  </si>
  <si>
    <t>WOS:000090113600003</t>
  </si>
  <si>
    <t>Boyd, IL</t>
  </si>
  <si>
    <t>State-dependent fertility in pinnipeds: contrasting capital and income breeders</t>
  </si>
  <si>
    <t>FUNCTIONAL ECOLOGY</t>
  </si>
  <si>
    <t>fecundity; life history; mammals; seals</t>
  </si>
  <si>
    <t>ANTARCTIC FUR SEALS; SOUTHERN ELEPHANT SEALS; BODY CONDITION; LIFE-HISTORY; GREY SEALS; BREEDING EXPERIENCE; HALICHOERUS-GRYPUS; AGE; SIZE; REPRODUCTION</t>
  </si>
  <si>
    <t>1. The study tested the hypothesis that the occurrence of pregnancy in mammals that are capital breeders will be most closely related to state variables that are indices of food stores. Income breeders would not be expected to have the same relationship. 2. The study examined the relationships between mass, time of year, age and body length with the occurrence of pregnancy in three species of pinniped. This included two capital breeders (Crabeater Seal, Lobodon carcinophagus Hombron &amp; Jacquinot, and Grey Seal, Halichoerus grypus Fabricius) and one income breeder (Antarctic Fur Seal, Arctocephalus gazella Peters). Multiple logistic regression analysis was used to examine the relationships and the interactions between the different state variables. 3. In both the capital breeders the state variables used in the study explained approximately twice the amount of variability (55% compared with 25%) in the occurrence of pregnancy than in the income breeder. Mass was the dominant state variable among both the capital breeders whereas in the income breeder mass was less important both relative to other state variables and in absolute terms. The results support the conclusion that the occurrence of pregnancy in capital breeders is more sensitive to body reserves than it is in income breeders. 4. The results also support the conclusion that life histories are the end result of a variety of functional responses to different state variables that have differing degrees of influence. In particular a size-structured approach to studies of population dynamics in pinnipeds may be a more informative way of predicting population responses to environmental variability than the more traditional age-structured approach.</t>
  </si>
  <si>
    <t>0269-8463</t>
  </si>
  <si>
    <t>1365-2435</t>
  </si>
  <si>
    <t>FUNCT ECOL</t>
  </si>
  <si>
    <t>Funct. Ecol.</t>
  </si>
  <si>
    <t>10.1046/j.1365-2435.2000.t01-1-00463.x</t>
  </si>
  <si>
    <t>369RM</t>
  </si>
  <si>
    <t>WOS:000165080800012</t>
  </si>
  <si>
    <t>Bollhöfer, A; Rosman, KJR</t>
  </si>
  <si>
    <t>Isotopic source signatures for atmospheric lead:: The Southern Hemisphere</t>
  </si>
  <si>
    <t>ANTHROPOGENIC LEAD; ANTARCTIC SNOW; RATIOS; GREENLAND; AIR; TRANSPORT; POLLUTION; AEROSOLS; TRACERS; EMISSIONS</t>
  </si>
  <si>
    <t>Aerosols collected between 1994 and 1999 at more than 70 different sites affecting the Southern Hemisphere have been measured for their Pb-206/Pb-207, Pb-208/Pb-207 and Pb-206/Pb-204 ratios and Pb concentrations. Lower ratios are found at the southern tips of Africa, Australia and South America probably due to the supply of alkyllead from a common supplier such as Associated Octel. The ratios increase in a northerly direction probably due to a changing market share in alkyllead or an increasing industrial Pb contribution. The geographical variations in isotopic signatures made it possible to broadly characterize the different regions that influence the Southern Hemisphere. Brazil and Argentina exhibited Pb-206/Pb-207, Pb-208/Pb-207,nd Pb-206/Pb-204 ratios in aerosols of 1.141-1.184, 2.416-2.442 and 17.77-18.57, respectively. Mexican aerosols had values of 1.188-1.197, 2.452-2.463 and 18.46-18.73. Aerosols sampled in Chile had low ratios in the South of 1.063-1.094, 2.337-2.373 and 16.46-17.13 which increased in a northerly direction. Emissions from South Africa were characterized by ratios 1.067-1.090, 2.340-2.358 and 16.53-16.99. In 1994-1995 Australia and New Zealand had ratios of 1.060-1.193, 2.324-2.445 and 16.08-18.54. In 1997 however, the range was narrower: 1.072-1.112, 2.342-2.398 and 16.55-17.36, respectively. These isotopic signatures are potentially useful for tracing sources of pollution and the movement of air-masses on a global scale. Copyright (C) 2000 Elsevier Science Ltd.</t>
  </si>
  <si>
    <t>Curtin Univ Technol, Sch Phys Sci, Dept Appl Phys, Bentley, WA 6845, Australia</t>
  </si>
  <si>
    <t>Curtin University</t>
  </si>
  <si>
    <t>Curtin Univ Technol, Sch Phys Sci, Dept Appl Phys, Bentley, WA 6845, Australia.</t>
  </si>
  <si>
    <t>rbollhoe@cc.curtin.edu.au</t>
  </si>
  <si>
    <t>1872-9533</t>
  </si>
  <si>
    <t>10.1016/S0016-7037(00)00436-1</t>
  </si>
  <si>
    <t>360JL</t>
  </si>
  <si>
    <t>WOS:000089664100001</t>
  </si>
  <si>
    <t>Fitzsimons, ICW</t>
  </si>
  <si>
    <t>Grenville-age basement provinces in East Antarctica: Evidence for three separate collisional orogens</t>
  </si>
  <si>
    <t>East Antarctica; Grenville age; U-Pb zircon ages; Gondwana; Rodinia</t>
  </si>
  <si>
    <t>U-PB GEOCHRONOLOGY; BELT; METAMORPHISM; MOZAMBIQUE; GONDWANA; HISTORY; LAND</t>
  </si>
  <si>
    <t>Three Grenville-age provinces can be distinguished in East Antarctica with U-Pb zircon data. The Maud, Rayner, and Wilkes provinces each have a distinctive age signature for late Mesoproterozoic-early Neoproterozoic magmatism and high-grade metamorphism and are correlated with similar rocks in the Namaqua-Natal (Africa), Eastern Chats (India), and Albany-Fraser (Australia) provinces, respectively. These crustal segments represent three separate collisional orogens, They are separated by regions of intense late Neoproterozoic-Early Cambrian tectonism, consistent with their juxtaposition during the final assembly of Gondwana and indicating that previous models for a single, continuous, Grenville-age mobile belt around the East Antarctic coastline should be discarded.</t>
  </si>
  <si>
    <t>Curtin Univ Technol, Sch Appl Geol, Tecton Special Res Ctr, Perth, WA 6845, Australia</t>
  </si>
  <si>
    <t>Fitzsimons, ICW (corresponding author), Curtin Univ Technol, Sch Appl Geol, Tecton Special Res Ctr, GPO Box U1987, Perth, WA 6845, Australia.</t>
  </si>
  <si>
    <t>Fitzsimons, Ian/A-3707-2012</t>
  </si>
  <si>
    <t>Fitzsimons, Ian/0000-0002-8907-7455</t>
  </si>
  <si>
    <t>10.1130/0091-7613(2000)028&lt;0879:GABPIE&gt;2.3.CO;2</t>
  </si>
  <si>
    <t>364KV</t>
  </si>
  <si>
    <t>WOS:000089892300004</t>
  </si>
  <si>
    <t>Hambrey, MJ; McKelvey, B</t>
  </si>
  <si>
    <t>Major Neogene fluctuations of the East Antarctic ice sheet: Stratigraphic evidence from the Lambert Glacier region</t>
  </si>
  <si>
    <t>Antarctic ice sheet history; Lambert Glacier; Pagodroma Group; glaciomarine sediments</t>
  </si>
  <si>
    <t>SEDIMENT; DEPOSITION; GREENLAND; FACIES; FJORDS; SHELF; BASIN</t>
  </si>
  <si>
    <t>Stratigraphic and sedimentological data are presented from a region likely to directly record the evolution of the East Antarctic ice sheet. Along the western margin of the Lambert graben, which now drains similar to 1 x 10(6) km(2) or one-eighth of the total area of the East Antarctic ice sheet, extensive remnants of Cenozoic glaciomarine fjordal sediment, known as the Pagodroma Group, are preserved as far as several hundred kilometers inland from the open coast. The sediments resemble those produced by tidewater glaciers in the Arctic, rather than those of modern Antarctica. Four separate formations of the Pagodroma Group, spanning the interval from early Miocene (or older) to Pliocene or early Pleistocene are preserved; the oldest and highest crop out at nearly 1500 m above sea level. Each formation was deposited in close proximity to an ice margin grounded on the fjord bottom during major recessional phases of the Lambert Glacier. Underlying each formation is a glacially cut erosion surface. Each surface records a separate stage of fjord excavation when ice expanded onto the continental shelf in Prydz Bay. Evidence from offshore drilling in Prydz Bag and these data indicate fluctuations of the Lambert Glacier terminus in excess of 500 km in Neogene time, thereby reflecting large changes in the volume of the ice sheet. Depositional episodes were succeeded by phases of uplift totalling more than 1500 m.</t>
  </si>
  <si>
    <t>Univ Wales, Ctr Glaciol, Aberystwyth SY23 3DB, Dyfed, Wales; Univ New England, Div Earth Sci, Armidale, NSW 3251, Australia</t>
  </si>
  <si>
    <t>Aberystwyth University; University of New England</t>
  </si>
  <si>
    <t>Hambrey, MJ (corresponding author), Univ Wales, Ctr Glaciol, Aberystwyth SY23 3DB, Dyfed, Wales.</t>
  </si>
  <si>
    <t>10.1130/0091-7613(2000)028&lt;0887:MNFOTE&gt;2.3.CO;2</t>
  </si>
  <si>
    <t>WOS:000089892300006</t>
  </si>
  <si>
    <t>Serrano, E; López-Martínez, J</t>
  </si>
  <si>
    <t>Rock glaciers in the South Shetland islands, western Antarctica</t>
  </si>
  <si>
    <t>GEOMORPHOLOGY</t>
  </si>
  <si>
    <t>rock glaciers; periglacial environment; geomorphology; holocene; South Shetland Islands; Antarctica</t>
  </si>
  <si>
    <t>Rock glaciers are found in the peripheral regions of Antarctica particularly in the Antarctic Peninsula region. Study of these features is relevant for the palaeoenvironmental reconstruction of maritime Antarctica because they are indicators of permafrost and periglacial conditions. This paper reports and analyzes the results of an inventory of rock glaciers and protalus lobes in the South Shetland Islands. Nine rock glaciers and eleven protalus lobes have been identified. All of them are located in recently deglaciated zones between 300 m a.s.l. and sea level and they cover an area of 497 x 103 m(2). Tongue-shaped rock glaciers are more common than lobate types, being in general of medium and small sizes. They are talus rock glaciers (55%) and debris rock glaciers (45%), according to the genetic classification. The lack of a preferred orientation suggests that there is no significant microclimate control on their distribution. They are related to particular morphodynamic situations. Estimated annual velocities, based on relationships with raised beaches and transported debris volumes, range between 2.4 and 97 cm year(-1), within the ranges reported for other rock glaciers. Three groups of rock glaciers can be recognised: (a) those immediate postdating the last major ice recession, (b) rock glaciers younger than 2000 years BP but pre-dating the Little Ice Age (LIA), and (c) rock glaciers formed during the LIA. (C) 2000 Elsevier Science B.V. All rights reserved.</t>
  </si>
  <si>
    <t>Univ Valladolid, Dpto Geog, E-47011 Valladolid, Spain; Univ Autonoma Madrid, Fac Ciencias, Dpto Geol &amp; Geoquim, E-28049 Madrid, Spain</t>
  </si>
  <si>
    <t>Universidad de Valladolid; Autonomous University of Madrid</t>
  </si>
  <si>
    <t>Serrano, E (corresponding author), Univ Valladolid, Dpto Geog, Pta Campus Univ S-N, E-47011 Valladolid, Spain.</t>
  </si>
  <si>
    <t>Lopez-Martinez, Jeronimo/C-5744-2011; SERRANO, ENRIQUE/AAH-7986-2020</t>
  </si>
  <si>
    <t>Lopez-Martinez, Jeronimo/0000-0002-1750-8287; SERRANO, ENRIQUE/0000-0001-9760-3876</t>
  </si>
  <si>
    <t>0169-555X</t>
  </si>
  <si>
    <t>Geomorphology</t>
  </si>
  <si>
    <t>10.1016/S0169-555X(00)00034-9</t>
  </si>
  <si>
    <t>365QQ</t>
  </si>
  <si>
    <t>WOS:000089962300010</t>
  </si>
  <si>
    <t>Marshall, GJ; Harangozo, SA</t>
  </si>
  <si>
    <t>An appraisal of NCEP/NCAR reanalysis MSLP data viability for climate studies in the South Pacific</t>
  </si>
  <si>
    <t>ANTARCTIC-PENINSULA; FREQUENCIES; PRESSURE; WAVE</t>
  </si>
  <si>
    <t>Fifty years of monthly mean sea level pressure (MSLP) data from the NCEP/NCAR reanalysis (hereinafter NNR) are validated against station observations in the extratropical South Pacific and West Antarctica. The period for which the NNR may be considered reliable differs markedly between regions. It is only realistic from similar to 1970 across West Antarctica. A lack of surface observations entering the model causes the NNR to be poorly constrained prior to the availability of GTS-based data in 1967: the latter coincides with a significant improvement in the NNR MSLP across the eastern South Pacific. Substantial spurious negative trends occur within the NNR MSLP at high latitudes; although the decrease is greatest prior to the advent of satellite sounder data it continues Into the 1990s south of 60 degrees S. In addition, widely used tropical and extra-tropical circulation indices are poorly represented in the NNR data prior to the 1960s.</t>
  </si>
  <si>
    <t>Marshall, GJ (corresponding author), British Antarctic Survey, NERC, High Cross,Madingley Rd, Cambridge CB3 0ET, England.</t>
  </si>
  <si>
    <t>OCT 1</t>
  </si>
  <si>
    <t>10.1029/2000GL011363</t>
  </si>
  <si>
    <t>361FG</t>
  </si>
  <si>
    <t>WOS:000089711900008</t>
  </si>
  <si>
    <t>Robinson, TR; Strangeway, R; Wright, DM; Davies, JA; Horne, RB; Yeoman, TK; Stocker, AJ; Lester, M; Rietveld, MT; Mann, IR; Carlson, CW; McFadden, JP</t>
  </si>
  <si>
    <t>FAST observations of ULF waves injected into the magnetosphere by means of modulated RF heating of the auroral electrojet</t>
  </si>
  <si>
    <t>IONOSPHERIC MODIFICATION EXPERIMENTS; HEATER; TROMSO</t>
  </si>
  <si>
    <t>Results are reported from an experiment in which the HF high power facility at Tromso was utilised to inject artificial ULF waves into the magnetosphere by means of modulated heating of the auroral electrojet. Local electric field oscillations associated with the artificially stimulated ULF waves were detected on board the FAST spacecraft, at an altitude of 2550 km. In addition, a modulated downward flux of electrons was also detected. The artificially excited waves: together with these energised downward electrons, were observed in a narrow region only a few tens of km across the geomagnetic field, which mapped down the geomagnetic field line to the heated volume in the ionosphere. Furthermore, the downward flux exhibited energy dispersion in a manner that was consistent with the artificially excited waves having followed the geomagnetic field line out beyond the spacecraft? where they appear to have stimulated electron precipitation back down the field line.</t>
  </si>
  <si>
    <t>Univ Leicester, Leicester LE1 7RH, Leics, England; Univ Calif Los Angeles, Los Angeles, CA 90024 USA; British Antarctic Survey, Cambridge CB3 0ET, England; EISCAT, N-9027 Ramfjordmoen, Norway; Max Planck Inst Aeron, D-37191 Katlenburg Lindau, Germany; Univ York, York YO10 5DD, N Yorkshire, England; Univ Calif Berkeley, Berkeley, CA 94720 USA</t>
  </si>
  <si>
    <t>University of Leicester; University of California System; University of California Los Angeles; UK Research &amp; Innovation (UKRI); Natural Environment Research Council (NERC); NERC British Antarctic Survey; Max Planck Society; University of York - UK; University of California System; University of California Berkeley</t>
  </si>
  <si>
    <t>Robinson, TR (corresponding author), Univ Leicester, Leicester LE1 7RH, Leics, England.</t>
  </si>
  <si>
    <t>Yeoman, Timothy k/L-9105-2014; Horne, Richard B/U-3764-2019</t>
  </si>
  <si>
    <t>Yeoman, Timothy k/0000-0002-8434-4825; Horne, Richard B/0000-0002-0412-6407</t>
  </si>
  <si>
    <t>10.1029/2000GL011882</t>
  </si>
  <si>
    <t>WOS:000089711900035</t>
  </si>
  <si>
    <t>Huin, N; Prince, PA; Briggs, DR</t>
  </si>
  <si>
    <t>Chick provisioning rates and growth in Black-browed Albatross Diomedea melanophris and Grey-headed Albatross D. chrysostoma at Bird Island, South Georgia</t>
  </si>
  <si>
    <t>LEACHS STORM-PETREL; FEEDING FREQUENCY; MEAL SIZE; ANTARCTIC KRILL; FOOD DELIVERY; VARIABILITY; PUFFINUS; DIET</t>
  </si>
  <si>
    <t>We compared the parental division of labour and the pattern and rate of parental provisioning by two sympatric species of albatross of similar mass and breeding timetable but differing in diet and in the duration of chick-rearing. Using electronic weighing platforms inside artificial nests, we recorded chick mass of Black-browed Albatross and Grey-headed Albatross at Bird Island, South Georgia every 10 minutes for both species in 1993 and 1994 and for each species in two other years between 1990 and 1996. The chick mass data (nearly one million weighings) were used to calculate meal mass (over 5000 meals) and intervals between meals. Adult birds were fitted with radio-transmitters which allowed each meal to be allocated to the appropriate parent. The combination of meal mass and foraging trip duration were used to calculate provisioning rates for chicks and individual adults. Overall, Black-browed Albatrosses delivered significantly lighter meals (569 g) than Grey-headed Albatrosses (616 g) but more frequently (every 2.07 days and 2.50 days respectively). Thus combining foraging trip data for both parents, Black-browed Albatross chicks received a meal every 1.22 days compared with 1.26 days for Grey-headed Albatross. These rates did not differ significantly. The contribution of each sex of each species in chick provisioning fluctuated between years, being similar in some years or biased towards males in others. Chicks of both species that failed to fledge received smaller, less frequent meals than successful chicks. In 1990 and 1994, Black-browed Albatross chick provisioning rates were lower than in 1992 and 1993. In 1990, both meal mass and trip duration were affected, but only in 1994 was trip duration longer. Grey-headed Albatross chick provisioning rate was lower in 1994 than in other years but trip duration was longer. In each species, significant changes in meal mass and trip duration occurred within the chick-rearing period. Chick provisioning rates invariably declined before chicks attained their peak mass. For both species, chick growth rates and peak and fledging mass, but not fledging age, were affected by differences in provisioning rate.</t>
  </si>
  <si>
    <t>Huin, N (corresponding author), British Antarctic Survey, NERC, High Cross,Madingley Rd, Cambridge CB3 0ET, England.</t>
  </si>
  <si>
    <t>n.huin@bas.ac.uk</t>
  </si>
  <si>
    <t>1474-919X</t>
  </si>
  <si>
    <t>10.1111/j.1474-919X.2000.tb04456.x</t>
  </si>
  <si>
    <t>360KW</t>
  </si>
  <si>
    <t>WOS:000089667700002</t>
  </si>
  <si>
    <t>Pütz, K; Ingham, RJ; Smith, JG</t>
  </si>
  <si>
    <t>Satellite tracking of the winter migration of Magellanic Penguins Spheniscus magellanicus breeding in the Falkland Islands</t>
  </si>
  <si>
    <t>ENGRAULIS-ANCHOITA; ATLANTIC</t>
  </si>
  <si>
    <t>Magellanic penguin populations in the Falkland Islands may have decreased over the past decade. The post-breeding migration may be the period in which the birds are most vulnerable. To investigate this we equipped ten Magellanic Penguins after their moult at Seal Bay (51 degrees 38'S, 58 degrees 03'W), East Falkland, with satellite transmitters. The movements of the penguins were tracked for between 15 and 99 days until transmission ceased. All birds initially migrated to the northwest. However, four birds entered Argentinean coastal waters, then headed northeast following the coastline. The other penguins remained offshore, but also changed to a northeasterly course. Two birds migrated beyond 36 degrees S with a maximum distance to the colony of more than 1800 km, while the minimum distance travelled was up to 2700 km. Initially, the birds migrated quickly but their speed was reduced and became more variable as time progressed. A high concentration of positional fixes, associated with low travelling speeds, indicated at least four different areas where birds were assumed to forage efficiently. The relevance of these areas is discussed with respect to the diet of Magellanic Penguins and possible interactions with human activities.</t>
  </si>
  <si>
    <t>Falklands Conservat, Stanley, Falkland Isl, England; Antarctic Res Trust, Stanley, Falkland Isl, England</t>
  </si>
  <si>
    <t>Falklands Conservat, POB 26, Stanley, Falkland Isl, England.</t>
  </si>
  <si>
    <t>pentag@horizon.co.fk</t>
  </si>
  <si>
    <t>Puetz, Klemens/0000-0003-1375-2669</t>
  </si>
  <si>
    <t>10.1111/j.1474-919X.2000.tb04461.x</t>
  </si>
  <si>
    <t>WOS:000089667700007</t>
  </si>
  <si>
    <t>Banerjee, M; Whitton, BA; Wynn-Williams, DD</t>
  </si>
  <si>
    <t>Surface phosphomonoesterase activity of a natural immobilized system:: Chroococcidiopsis in an Antarctic desert rock</t>
  </si>
  <si>
    <t>JOURNAL OF APPLIED PHYCOLOGY</t>
  </si>
  <si>
    <t>8th Tri Annual International Conference on Applied Algology (8th ICAA)</t>
  </si>
  <si>
    <t>SEP 26-OCT 01, 1999</t>
  </si>
  <si>
    <t>MONTECATINI TERME, ITALY</t>
  </si>
  <si>
    <t>endoliths; Antarctic; desert; Chroococcidiopsis; phosphomonoesterase; lowlight flux; immobilization</t>
  </si>
  <si>
    <t>CYANOBACTERIA</t>
  </si>
  <si>
    <t>The phosphomonoesterase activity of a microbial community dominated by Chroococcidiopsis in a rock sample from the Antarctic dry desert was compared with that of a non-axenic culture of the cyanobacterium isolated from the same rock in order to establish whether the organism differed in its properties when immobilized in the rock. The pH optimum (9.5) was the same, but the response to temperature and light both differed. In the case of temperature, the optimum was much higher in culture. Light flux at the low value of 8 mu mol photon m(-2) s(-1) was slightly inhibitory for a crushed rock sample, but enhanced activity of the cultured material. Although materials both showed a typical (apparent) Michaelis-Menten relationship, the values for K-m and V-max differed. It is suggested that study of natural immobilized systems is important for the development of procedures to use immobilized phototrophs for practical purposes.</t>
  </si>
  <si>
    <t>Univ Durham, Dept Biol Sci, Durham DH1 3LE, England; British Antarctic Survey, NERC, Cambridge CB3 0ET, England; Barkatullah Univ, Dept Biosci, Bhopal, India</t>
  </si>
  <si>
    <t>Durham University; UK Research &amp; Innovation (UKRI); Natural Environment Research Council (NERC); NERC British Antarctic Survey; Barkatullah University</t>
  </si>
  <si>
    <t>Whitton, BA (corresponding author), Univ Durham, Dept Biol Sci, Durham DH1 3LE, England.</t>
  </si>
  <si>
    <t>0921-8971</t>
  </si>
  <si>
    <t>J APPL PHYCOL</t>
  </si>
  <si>
    <t>J. Appl. Phycol.</t>
  </si>
  <si>
    <t>3-5</t>
  </si>
  <si>
    <t>10.1023/A:1008113932640</t>
  </si>
  <si>
    <t>Biotechnology &amp; Applied Microbiology; Marine &amp; Freshwater Biology</t>
  </si>
  <si>
    <t>366CK</t>
  </si>
  <si>
    <t>WOS:000089987100046</t>
  </si>
  <si>
    <t>Jones, GOL; Davis, CJ; Stockwell, RE</t>
  </si>
  <si>
    <t>Dynasonde observations of electron concentration gradients above Tromso</t>
  </si>
  <si>
    <t>dynasonde; electron concentration gradients</t>
  </si>
  <si>
    <t>LATITUDE IONOSPHERIC TROUGH; EISCAT; ANTARCTICA; RADAR</t>
  </si>
  <si>
    <t>The Dynasonde is a digital ionosonde which measures the amplitude and phase of radio echoes reflected from the ionosphere. In addition to the frequency and virtual range of each echo, one parameter of particular interest is the direction of arrival which allows horizontal structures in the ionosphere to be studied. Under suitable ionospheric conditions, namely where structures or strong gradients are present in the electron concentration, echoes may be observed out to horizontal distances of several hundred kilometres. We describe an automated method for latitudinally mapping these gradients in F-region peak electron concentration using the Dynasonde. Good agreement is found when the results are compared with a co-located incoherent scatter radar lending credibility to observations of electron concentration gradients by a Dynasonde alone. This is significant for sites where no supporting instruments exist. Although Dynasondes account for only a small fraction of digital ionosondes in use today, the techniques described in this paper could be extended to other digital ionosondes with similar directional capabilities. The combination of routine soundings, and the worldwide distribution of such instruments, would provide a powerful means to monitor ionospheric structures on a regular basis. (C) 2000 Elsevier Science Ltd. All rights reserved.</t>
  </si>
  <si>
    <t>British Antarctic Survey, NERC, Cambridge CB3 0ET, England; Rutherford Appleton Lab, CLRC, Didcot OX11 0QX, Oxon, England; Univ Plymouth, Plymouth PL4 8AA, Devon, England</t>
  </si>
  <si>
    <t>UK Research &amp; Innovation (UKRI); Natural Environment Research Council (NERC); NERC British Antarctic Survey; UK Research &amp; Innovation (UKRI); Science &amp; Technology Facilities Council (STFC); STFC Rutherford Appleton Laboratory; University of Plymouth</t>
  </si>
  <si>
    <t>Jones, GOL (corresponding author), British Antarctic Survey, NERC, Madingley Rd, Cambridge CB3 0ET, England.</t>
  </si>
  <si>
    <t>Davis, Chris/AFO-8497-2022; Scott, Christopher/H-8664-2012</t>
  </si>
  <si>
    <t>Davis, Chris/0000-0002-9613-928X; Scott, Christopher/0000-0001-6411-5649</t>
  </si>
  <si>
    <t>10.1016/S1364-6826(00)00156-5</t>
  </si>
  <si>
    <t>372UH</t>
  </si>
  <si>
    <t>WOS:000165252100006</t>
  </si>
  <si>
    <t>Boyce, SJ; Murray, AWA; Peck, LS</t>
  </si>
  <si>
    <t>Digestion rate, gut passage time and absorption efficiency in the Antarctic spiny plunderfish</t>
  </si>
  <si>
    <t>egestion; Antarctic; fish; Harpagifer antarcticus; gut evacuation rate; faeces; digestion rate; absorption efficiency; assimilation</t>
  </si>
  <si>
    <t>GASTRIC EVACUATION RATES; SCOPHTHALMUS-MAXIMUS L; LIMANDA-LIMANDA L; COD GADUS-MORHUA; FOOD-CONSUMPTION; MEAL SIZE; DAILY RATION; BODY-WEIGHT; NITROGEN-EXCRETION; ATLANTIC COD</t>
  </si>
  <si>
    <t>The absolute gut evacuation rate (GER) (g day(-1)) of Harpagifer antarcticus increased with increasing ration mass, fish mass only influenced the absolute GER at a daily ration level of 0.3% wet fish mass (approximately a maintenance ration). The relative GER (% of meal fed day(-1)) was also affected differently by fish and ration mass depending on the relative ration level being fed; at rations of 0.7% wet fish mass or above the relative GER decreased with increasing fish or ration mass (in such a way that the absolute GER remained constant and unaffected by fish mass). At maintenance (0.3% wet fish mass) rations the relative GER was not affected by fish size or ration mass. Thus, there appears to be a ration threshold above which the digestion physiology alters. Mass-specific GER (% g fish(-1) day(-1)) decreased with increasing fish mass. Within a set relative ration level (% wet fish mass) an increase in fish mass decreased the mass-specific GER. At a fixed ration mass, an increase in fish mass (i.e. a reduction in the ration expressed as % fish mass) resulted in a decrease in mass-specific GER. Gut evaluation time (GET) decreased and absorption efficiency (A) increased with increasing absolute GER. The effect of ration and fish mass on the absolute and relative GER followed the same pattern irrespective of the diet, however the A and GER (% day(-1) and g day(-1)) were higher and the GET shorter when the fish were fed shelled krill rather than amphipods. (C) 2000 The Fisheries Society of the British Isles.</t>
  </si>
  <si>
    <t>Peck, LS (corresponding author), British Antarctic Survey, High Cross,Madingley Rd, Cambridge CB3 0ET, England.</t>
  </si>
  <si>
    <t>10.1111/j.1095-8649.2000.tb02201.x</t>
  </si>
  <si>
    <t>364DR</t>
  </si>
  <si>
    <t>WOS:000089877200006</t>
  </si>
  <si>
    <t>Watanabe, M; Sato, N; Greenwald, RA; Pinnock, M; Hairston, MR; Rairden, RL; McEwen, DJ</t>
  </si>
  <si>
    <t>The ionospheric response to interplanetary magnetic field variations: Evidence for rapid global change and the role of preconditioning in the magnetosphere</t>
  </si>
  <si>
    <t>HIGH-LATITUDE CONVECTION; NORTH-SOUTH COMPONENT; POLAR-CAP; ELECTRODYNAMICS TECHNIQUE; ELECTRIC-FIELD; THETA-AURORA; MODEL; IMF; TIME; FLOWS</t>
  </si>
  <si>
    <t>We have found observational evidence for a rapid communication of interplanetary magnetic field (IMF) changes to the global ionosphere and evidence for the state of the magnetosphere in the previous hour conditioning this response. These conclusions are drawn from a case study of sunward flow bursts on the nightside polar cap boundary observed by geomagnetically conjugate HF radars. The flow burst excitation consists of two factors: (1) At the lime of the flow burst, the magnetosphere still held a memory of the stable and northward IMF period that had persisted up until 1 hour before the flow burst (internal condition). During the northward IMF period a theta aurora associated with a sunward how channel was formed in the polar cap. After that the IMF turned southward, and the transpolar are decayed antisunward. However, by the time of the flow burst (i.e., 1 hour after the IMF southward turning), the Sun-aligned are had not yet completely vanished, and in the poleward expanded portion of the northern plasma sheet, there was still a remnant of the sunward flow channel susceptive to an external forcing. (2) One hour after the southward turning of the IMF a sharp IMF transition from southward to northward B-Z impinged on the dayside magnetopause (external condition). On arriving at the dayside cusp ionosphere the B-Z transition signal pervaded the entire polar cap ionosphere instantaneously (&lt;1 min) and reached the nightside plasma sheet. There, the remnant of the sunward flow channel was reactivated by the B-Z transition, and a sunward how burst was observed first in the northern ionosphere and then in the southern ionosphere with a 7-min time delay. Thus the sunward flow burst represents a rapid global response of the ionosphere starting 2-3 min after the IMF change at the subsolar magnetopause.</t>
  </si>
  <si>
    <t>Natl Inst Polar Res, Tokyo 1738515, Japan; Johns Hopkins Univ, Appl Phys Lab, Laurel, MD 20723 USA; British Antarctic Survey, NERC, Cambridge CB3 0ET, England; Univ Texas, William B Hanson Ctr Space Sci, Richardson, TX 75083 USA; Lockheed Missiles &amp; Space Co Inc, Space Sci Lab, Palo Alto, CA 94304 USA; Univ Saskatchewan, Dept Phys &amp; Engn Phys, Coll Arts &amp; Sci, Saskatoon, SK S7N 5E2, Canada</t>
  </si>
  <si>
    <t>Research Organization of Information &amp; Systems (ROIS); National Institute of Polar Research (NIPR) - Japan; Johns Hopkins University; Johns Hopkins University Applied Physics Laboratory; UK Research &amp; Innovation (UKRI); Natural Environment Research Council (NERC); NERC British Antarctic Survey; University of Texas System; University of Texas Dallas; Lockheed Martin; University of Saskatchewan</t>
  </si>
  <si>
    <t>Watanabe, M (corresponding author), Natl Inst Polar Res, 1-9-10 Kaga, Tokyo 1738515, Japan.</t>
  </si>
  <si>
    <t>maskaz@nipr.ac.jp; nsato@nipr.ac.jp; ray_greenwald@jhuapl.edu; M.Pinnock@bas.ac.uk; hairston@utdallas.edu; rairden@agena.spasci.com; mcewen@skisas.usask.ca</t>
  </si>
  <si>
    <t>A10</t>
  </si>
  <si>
    <t>10.1029/1999JA000433</t>
  </si>
  <si>
    <t>359UN</t>
  </si>
  <si>
    <t>WOS:000089630600002</t>
  </si>
  <si>
    <t>McKnight, DM; Howes, BL; Taylor, CD; Goehringer, DD</t>
  </si>
  <si>
    <t>Phytoplankton dynamics in a stably stratified Antarctic lake during winter darkness</t>
  </si>
  <si>
    <t>JOURNAL OF PHYCOLOGY</t>
  </si>
  <si>
    <t>akinete; mixotrophy; phytoplankton; winter</t>
  </si>
  <si>
    <t>ICE; FRYXELL; INSTRUMENTATION; CRYPTOPHYTES; CYCLE</t>
  </si>
  <si>
    <t>Using automated overwinter sampling devices, we collected preserved phytoplankton samples from multiple depths in Lake Fryxell, a permanently ice-covered lake in southern Victoria Land, Antarctica. Photosynthetic algae were maintained in a stable water column throughout winter darkness. The algal taxa overwintered in different ways in a species-specific manner. Typical vegetative cells were the most abundant form for all species found in the water column. Populations of one chlorophyte, Stichococcus sp., were observed in winter, but the species was absent in both summers. Two cryptophyte species were more abundant in winter than in summer. We interpret the increase in algal population size as evidence of heterotrophic growth in winter and of mixotrophic behavior throughout the year. For two chlorophyte species, some portion of the population had a distinctive morphology, for example, many Chlamydomonas subcaudata Wille. formed akinetes, whereas many Chlorella sp. contained a large amount of starch or other storage material. During winter, vegetative cells of the most abundant cyanobacterial species, Phormidium angustissimum West et West, occurred at the depth of the summer maximum and at depths below the oxycline. The presence of P. angustissimum below the oxycline may have resulted from the accumulation of settling cells at a depth with a greater density. In contrast to the settling of P. angustissimum, the general absence of the other algal species below the oxycline in winter indicated that these species were not influenced by overwinter settling.</t>
  </si>
  <si>
    <t>Univ Colorado, Inst Arctic &amp; Alpine Res, Boulder, CO 80309 USA; Woods Hole Oceanog Inst, Dept Biol, Woods Hole, MA 02543 USA</t>
  </si>
  <si>
    <t>University of Colorado System; University of Colorado Boulder; Woods Hole Oceanographic Institution</t>
  </si>
  <si>
    <t>Univ Colorado, Inst Arctic &amp; Alpine Res, 1560 30th St,Campus Box 450, Boulder, CO 80309 USA.</t>
  </si>
  <si>
    <t>mcknight@snobear.colorado.edu</t>
  </si>
  <si>
    <t>MCKNIGHT, DIANE/0000-0002-4171-1533</t>
  </si>
  <si>
    <t>0022-3646</t>
  </si>
  <si>
    <t>1529-8817</t>
  </si>
  <si>
    <t>J PHYCOL</t>
  </si>
  <si>
    <t>J. Phycol.</t>
  </si>
  <si>
    <t>10.1046/j.1529-8817.2000.00031.x</t>
  </si>
  <si>
    <t>375NY</t>
  </si>
  <si>
    <t>WOS:000165409200009</t>
  </si>
  <si>
    <t>Nadeau, TL; Castenholz, RW</t>
  </si>
  <si>
    <t>Characterization of psychrophilic oscillatorians (cyanobacteria) from Antarctic meltwater ponds</t>
  </si>
  <si>
    <t>Antarctica; benthic cyanobacteria; photosynthesis; psychrophile; psychrotolerance</t>
  </si>
  <si>
    <t>MICROBIAL COMMUNITIES; PHOTOSYNTHESIS; DIVERSITY; TEMPERATURE; ENVIRONMENT; GROWTH; BIODIVERSITY; BACTERIA; STREAMS; LIGHT</t>
  </si>
  <si>
    <t>Oscillatorian cyanobacteria dominate benthic microbial mat communities in many polar freshwater ecosystems. Capable of growth at low temperatures, all benthic polar oscillatorians characterized to date are psychrotolerant (growth optima &gt; 15 degrees C) as opposed to psychrophilic (growth optima less than or equal to 15 degrees C). Here, psychrophilic oscillatorians isolated from meItwater ponds on Antarctica's Il MchMurdo Ice Shelf are described. Growth and photosynthetic rates were investigated at multiple temperatures, and compared with those of a psychrotolerant isolate from the same region. Two isolates showed a growth maximum at 8 degrees C, with rates of 0.12 and 0.08 doublings d(-1), respectively. Neither displayed detectable growth at 24 degrees C. The psychrotolerant isolate showed almost imperceptible growth at 4 degreesC and a rate of 0.9 doublings d(-1) at its optimal temperature of similar to 23 degreesC. In both photosynthesis versus irradiance and photosynthesis versus temperature experiments, exponentially growing cultures were acclimated for 14 days at 3, 8, 12, 20, and 24 degrees C under saturating light intensity, and [C-14] photoincorporation rates were measured. Psychrophilic isolates acclimated at 8 degrees C showed greatest photosynthetic rates; those acclimated at 3 degrees C were capable of active photosynthesis, but photoincorporation was not detected in cells acclimated at 20 and 24 degrees C, because these isolates were not viable after 14 days at those temperatures. The psychrotolerant isolate, conversely, displayed maximum photosynthetic rates at 24 degrees C, though photoincorporation was actively occurring at 3 degrees C. Within acclimation temperature treatments, short-term photosynthetic rates increased with increasing incubation temperature for both psychrophilic and psychrotolerant isolates. These results indicate the importance of temperature acclimation before assays when determining optimal physiological temperatures. All isolates displayed photosynthetic saturation at low light levels (&lt;128 mol.m(-2).s(-1)) but were not photoinhibited at the highest light treatment (233 mu mol.m(-2).s(-1)). Field studies examining the impact of temperature on photosynthetic responses of intact benthic mats, under natural solar irradiance, showed the mat communities to be actively photosynthesizing from 2 to 20 degreesC, with maximum photoincorporation at 20 degreesC, as well as capable of a rapid response to an increase in temperature. The rarity of psychrophilic cyanobacteria, relative to psychrotolerant strains, may be due to their extremely slow growth rates and inability to take advantage of occasional excursions to higher temperatures. We suggest an evolutionary scenario in which psychrophilic strains, or their most recent common ancestor, lost the ability to grow at higher temperatures while maintaining a broad tolerance for fluctuations in other physical and chemical parameters that define shallow meltwater Antarctic ecosystems.</t>
  </si>
  <si>
    <t>Univ Oregon, Dept Biol, Eugene, OR 97403 USA</t>
  </si>
  <si>
    <t>University of Oregon</t>
  </si>
  <si>
    <t>US EPA, Wetlands Div, 4502-F, Washington, DC 20460 USA.</t>
  </si>
  <si>
    <t>nadeau.tracie@epa.gov</t>
  </si>
  <si>
    <t>10.1046/j.1529-8817.2000.99201.x</t>
  </si>
  <si>
    <t>WOS:000165409200015</t>
  </si>
  <si>
    <t>Lass, HU; Schmidt, M; Mohrholz V; Nausch, G</t>
  </si>
  <si>
    <t>Lass, HU; Schmidt, M; Mohrholz, V; Nausch, G</t>
  </si>
  <si>
    <t>Hydrographic and current measurements in the area of the Angola-Benguela front</t>
  </si>
  <si>
    <t>SOUTH-ATLANTIC-OCEAN; ANTARCTIC INTERMEDIATE WATER; WIND-STRESS; UPWELLING SYSTEM; SEASONAL CYCLE; CIRCULATION; ECOSYSTEM; FEATURES</t>
  </si>
  <si>
    <t>The structure and Row in the area of the Angola-Benguela front was studied under the auspices of BENEFIT (Benguela Environment-Fisheries Interaction and Training) during one of the starting cruises of the program with the RN P. Kottzov from 20 April to 13 May 1997. The dataset acquired in the shelf area between 13 degrees 30'S and 17 degreesS consists of CTD casts down to 1200 dbar; two sections of towed CTD, and seven tracks of towed acoustic Doppler current profiler measurements. Throughflow measurements of the temperature and salinity were performed continuously during the cruise. Daily National Aeronautics and Space Administration scatterometer (NSCAT) wind data with 1/2 degrees resolution were analyzed for April and May 1997 in the area bounded by 5 degreesN, 35 degreesS and 10 degreesW, 20 degreesE. The Angola-Benguela Front was observed at 16 degrees 30'S separating 40-m thick, tongue-shaped, warm and saline Angola Current water in the north from the cold and less-saline water of the Benguela in the south. In contrast to temperature, the pattern of salinity distribution in the tongue split northward into a northwestern and a coastal branch, Strong downwelling was observed between 60- and 500-m depth on the shelf at 15 degrees and 17 degreesS. The core of the Antarctic Intermediate Water was Found at a depth of 800 m throughout the whole region with a salinity of about 34.50 psu decreasing poleward. A poleward current of 1 Sv entered the studied area through the northern boundary at 13 degrees 30'S. Additionally, an eastward directed geostrophic current of 6 Sv driven by the cyclonic wind stress curl entered the region from the northwest in the upper 400 m bending southward along the shelf edge at 15 degreesS and exited the cruise area at 17 degreesS as a coastal boundary current with a volume transport of about 7 Sv. The importance of this current as a link; between the cyclonic gyre in the Angola Dome area and the source region of the Benguela Current is discussed.</t>
  </si>
  <si>
    <t>Inst Ostseeforsch Warnemunde, D-18119 Rostock, Germany</t>
  </si>
  <si>
    <t>Leibniz Institut fur Ostseeforschung Warnemunde</t>
  </si>
  <si>
    <t>Lass, HU (corresponding author), Inst Ostseeforsch Warnemunde, Seestr 15, D-18119 Rostock, Germany.</t>
  </si>
  <si>
    <t>lass@io-warnemuende.de</t>
  </si>
  <si>
    <t>Mohrholz, Volker/JNS-8418-2023</t>
  </si>
  <si>
    <t>Mohrholz, Volker/0000-0003-0778-9182</t>
  </si>
  <si>
    <t>10.1175/1520-0485(2000)030&lt;2589:HACMIT&gt;2.0.CO;2</t>
  </si>
  <si>
    <t>368FH</t>
  </si>
  <si>
    <t>WOS:000090106700007</t>
  </si>
  <si>
    <t>Two new species of Dorymenia (Mollusca: Solenogastres: Proneomeniidae) from the South Shetland Islands (Antarctica)</t>
  </si>
  <si>
    <t>JOURNAL OF THE MARINE BIOLOGICAL ASSOCIATION OF THE UNITED KINGDOM</t>
  </si>
  <si>
    <t>This paper describes two new species from the genus Dorymenia (Mollusca: Solenogastres: Proneomeniidae): D. hesperidesi sp. nov, and D. menchuescribanae sp. nov., collected during the Spanish oceanographic expeditions for the study of Antarctic benthos, BENTART'94 and BENTART'95, carried out in the area of the Livingston Island (South Shetland Islands, Antarctica). A comparative study of main specific characteristics of species belonging to the genus Dorymenia found off the South Shetland Islands and in the Bransfield Strait (Antarctica), is also included.</t>
  </si>
  <si>
    <t>Univ Santiago de Compostela, Fac Biol, Dept Anim Biol, E-15706 Santiago, Spain; Univ Vienna, Inst Zool, A-1090 Vienna, Austria</t>
  </si>
  <si>
    <t>García-Alvarez, O (corresponding author), Univ Santiago de Compostela, Fac Biol, Dept Anim Biol, E-15706 Santiago, Spain.</t>
  </si>
  <si>
    <t>Urgorri, Victoriano/0000-0001-8261-5145; Garcia-Alvarez, Oscar/0000-0001-5363-5913</t>
  </si>
  <si>
    <t>0025-3154</t>
  </si>
  <si>
    <t>J MAR BIOL ASSOC UK</t>
  </si>
  <si>
    <t>J. Mar. Biol. Assoc. U.K.</t>
  </si>
  <si>
    <t>10.1017/S0025315400002812</t>
  </si>
  <si>
    <t>376LR</t>
  </si>
  <si>
    <t>WOS:000165459500009</t>
  </si>
  <si>
    <t>[Anonymous]</t>
  </si>
  <si>
    <t>Australia's Antarctic research programme</t>
  </si>
  <si>
    <t>MARINE POLLUTION BULLETIN</t>
  </si>
  <si>
    <t>0025-326X</t>
  </si>
  <si>
    <t>1879-3363</t>
  </si>
  <si>
    <t>MAR POLLUT BULL</t>
  </si>
  <si>
    <t>Mar. Pollut. Bull.</t>
  </si>
  <si>
    <t>Environmental Sciences; Marine &amp; Freshwater Biology</t>
  </si>
  <si>
    <t>370TA</t>
  </si>
  <si>
    <t>WOS:000165137300004</t>
  </si>
  <si>
    <t>Delille, D; Delille, E</t>
  </si>
  <si>
    <t>Distribution of enteric bacteria in Antarctic seawater surrounding the Dumont d'Urville permanent station (Adelie land)</t>
  </si>
  <si>
    <t>faecal pollution; coliform; seawater; spatial distribution; seasonal changes; Antarctica</t>
  </si>
  <si>
    <t>ESCHERICHIA-COLI; MCMURDO-STATION; SURVIVAL; TEMPERATURE; POLLUTION; ESTUARINE; VIABILITY; WATERS</t>
  </si>
  <si>
    <t>The survival of human enteric bacteria in the aquatic environment has attracted much interest in view of its public health significance. Untreated sewage has been released from Dumont d'Urville station, Antarctica, into the Southern Ocean for several years. The spatial distribution of faecal bacteria indicators was investigated in summer ice-free seawater near the French Base station of the Adelie land area. A complementary seasonal survey of the occurrence of faecal coliform bacteria was conducted in seawater under the winter sea ice in a specific station. Relatively high bacterial densities (maximum 10(3) CFU 100 ml(-1)) were found in seawater surrounding the sewage outfall, However, the contamination decreased rapidly with increasing distance from the outfall, In all samples collected further than 2 km, the bacterial indicators were absent or present in very small numbers. Faecal coliforms were not detected in samples collected at pristine sites. Despite these relatively low contamination levels, faecal bacteria were always detected in the vicinity of the sewage outfall during the seasonal survey conducted in ice and under-ice seawater. (C) 2000 Elsevier Science Ltd. All rights reserved.</t>
  </si>
  <si>
    <t>Univ Paris 06, UMR CNRS 7621, Lab Arago, Observ Oceanol Banyuls, F-66650 Banyuls sur Mer, France; Lab Departemental, F-66000 Perpignan, France</t>
  </si>
  <si>
    <t>Centre National de la Recherche Scientifique (CNRS); CNRS - National Institute for Earth Sciences &amp; Astronomy (INSU); Sorbonne Universite</t>
  </si>
  <si>
    <t>Delille, D (corresponding author), Univ Paris 06, UMR CNRS 7621, Lab Arago, Observ Oceanol Banyuls, F-66650 Banyuls sur Mer, France.</t>
  </si>
  <si>
    <t>daniel.delille@wanadoo.fr</t>
  </si>
  <si>
    <t>Daniel, Delille/S-9542-2019</t>
  </si>
  <si>
    <t>10.1016/S0025-326X(00)00077-1</t>
  </si>
  <si>
    <t>WOS:000165137300017</t>
  </si>
  <si>
    <t>Smith, SDA</t>
  </si>
  <si>
    <t>The effects of a small sewage outfall on an algal epifaunal community at Macquarie Island (sub-Antarctic): A drop in the southern ocean?</t>
  </si>
  <si>
    <t>epifauna; sewage outfall; intertidal; impacts; sub-Antarctic</t>
  </si>
  <si>
    <t>ARTHUR HARBOR; OIL-SPILL; BENTHIC COMMUNITIES; MARINE-ENVIRONMENT; DIESEL FUEL; ROCKY SHORE; POLLUTION; CONTAMINATION; HYDROCARBONS; SURVIVAL</t>
  </si>
  <si>
    <t>Macquarie Island, in the sub-Antarctic, is the location of one of four permanently staffed bases operated by the Australian Antarctic Division. As part of a wider programme investigating the effects of human presence on Antarctic and sub-Antarctic ecosystems, this study evaluated the impact of the small sewage outfall at Macquarie Island on the epifauna living within turfs of the intertidal red alga Chaetangium fastigiatum, Sampling was conducted during early December (austral summer) in both 1996 and 1997 at six sites, two sites within each of three adjacent bays. The site closest to the outfall was 3 m from the point of discharge. Data analyses at the population and community levels failed to demonstrate a significant effect of the outfall, Small scale spatial patterns, probably related to wave exposure, and inter-annual variation in recruitment, are suggested as the main causes of variation in patterns of epifaunal dominance during the study, (C) 2000 Elsevier Science Ltd. All rights reserved.</t>
  </si>
  <si>
    <t>Univ New England, Sch Biol Sci, Armidale, NSW 2351, Australia</t>
  </si>
  <si>
    <t>University of New England</t>
  </si>
  <si>
    <t>Smith, SDA (corresponding author), Univ New England, Sch Biol Sci, Armidale, NSW 2351, Australia.</t>
  </si>
  <si>
    <t>Smith, Stephen D A/I-1945-2012</t>
  </si>
  <si>
    <t>Smith, Stephen D A/0000-0002-3372-5441</t>
  </si>
  <si>
    <t>WOS:000165137300018</t>
  </si>
  <si>
    <t>Jarman, SN; Nicol, S; Elliott, NG; McMinn, A</t>
  </si>
  <si>
    <t>28S rDNA evolution in the Eumalacostraca and the phylogenetic position of Krill</t>
  </si>
  <si>
    <t>MOLECULAR PHYLOGENETICS AND EVOLUTION</t>
  </si>
  <si>
    <t>MAXIMUM-LIKELIHOOD; MITOCHONDRIAL-DNA; SUBSTITUTION; PHYLLOCARIDA; STRATEGIES; SEQUENCES; BOOTSTRAP; NUMBER; TREES; LIMBS</t>
  </si>
  <si>
    <t>The Malacostraca are an ancient and morphologically diverse class of Crustacea. The phylogenetic position of one order within this class, the Euphausiacea (krill, subclass Eumalacostraca) was investigated using 28S rDNA sequences from representatives of several malacostracan orders. Phylogenies for these sequences were estimated by maximum-likelihood and maximum-parsimony analysis. The results of these analyses produced a new scheme for evolution within the Eumalacostraca. The new phylogenies suggested that Euphausiacea are most closely related to the Mysida and not the Decapoda, as is generally thought. Furthermore, the Mysida were found not to be closely related to the Lophogastrida, which are often considered their sister taxon. These hypotheses were tested against the hypotheses of monophyly for the Eucarida, Mysidacea, and Peracarida and found to be significantly better on the basis of the 28S rDNA data. (C) 2000 Academic Press.</t>
  </si>
  <si>
    <t>Univ Tasmania, Inst Antarctic &amp; So Ocean Studies, Hobart, Tas 7001, Australia; Australian Antarctic Div, Kingston, Tas 7050, Australia; CSIRO, Hobart, Tas 7001, Australia</t>
  </si>
  <si>
    <t>University of Tasmania; Australian Antarctic Division; Commonwealth Scientific &amp; Industrial Research Organisation (CSIRO)</t>
  </si>
  <si>
    <t>Jarman, SN (corresponding author), Univ Tasmania, Inst Antarctic &amp; So Ocean Studies, GPO Box 252-77, Hobart, Tas 7001, Australia.</t>
  </si>
  <si>
    <t>Simon.Jarman@utas.edu.au</t>
  </si>
  <si>
    <t>McMinn, Andrew/A-9910-2008; Jarman, Simon/H-9265-2016</t>
  </si>
  <si>
    <t>Jarman, Simon/0000-0002-0792-9686</t>
  </si>
  <si>
    <t>ACADEMIC PRESS INC ELSEVIER SCIENCE</t>
  </si>
  <si>
    <t>1055-7903</t>
  </si>
  <si>
    <t>MOL PHYLOGENET EVOL</t>
  </si>
  <si>
    <t>Mol. Phylogenet. Evol.</t>
  </si>
  <si>
    <t>10.1006/mpev.2000.0823</t>
  </si>
  <si>
    <t>365LL</t>
  </si>
  <si>
    <t>WOS:000089952700004</t>
  </si>
  <si>
    <t>Smith, AM; Levchenko, VA; Etheridge, DM; Lowe, DC; Hua, Q; Trudinger, CM; Zoppi, U; Elcheikh, A</t>
  </si>
  <si>
    <t>In search of in-situ radiocarbon in Law Dome ice and firn</t>
  </si>
  <si>
    <t>NUCLEAR INSTRUMENTS &amp; METHODS IN PHYSICS RESEARCH SECTION B-BEAM INTERACTIONS WITH MATERIALS AND ATOMS</t>
  </si>
  <si>
    <t>8th International Conference on Accelerator Mass Spectrometry</t>
  </si>
  <si>
    <t>SEP 06-10, 1999</t>
  </si>
  <si>
    <t>VIENNA, AUSTRIA</t>
  </si>
  <si>
    <t>in-situ; radiocarbon; (CO)-C-14; (CO2)-C-14; bomb pulse; firn; Antarctica</t>
  </si>
  <si>
    <t>C-14; AIR; ACCUMULATION; (CO2)-C-14; (CO)-C-14; BE-10; RATES; AMS; AGE; CO2</t>
  </si>
  <si>
    <t>Results of AMS radiocarbon measurements on CO and CO2 separated from firn air directly pumped from the ice sheet, and on CO2 separated from air extracted from ice cores by a dry grating technique, are presented. The fun air samples and ice cores used in this study were collected from the region of Law Dome, Antarctica. No evidence of in-situ (CO2)-C-14 was found in the firn air samples or the ice core air samples from one site although a slight enhancement of (CO)-C-14 above expected polar atmospheric concentrations was observed for some firn air samples, A clear in-situ (CO2)-C-14 Signal for ice pre-dating the radiocarbon bomb pulse was found, however, in air samples extracted from an ice core from a second site. We compare these results and propose an hypothesis to explain this apparent contradiction. The degree to which in-situ C-14 is released from the ice crystals during trapping and bubble formation is considered and discussed. The selectivity of the dry grating technique for the extraction of trapped atmospheric gases from ice cores is also discussed and compared with other methods. (C) 2000 Elsevier Science B.V. All rights reserved.</t>
  </si>
  <si>
    <t>Australian Nucl Sci &amp; Technol Org, Menai, NSW 2234, Australia; CSIRO, Aspendale, Vic 3195, Australia; Natl Inst Water &amp; Atmospher Res Ltd, Kilbirnie, New Zealand; Antarctic Cooperat Res Ctr, CRC, Hobart, Tas 7001, Australia; Australian Antarctic Div, Hobart, Tas 7001, Australia</t>
  </si>
  <si>
    <t>Australian Nuclear Science &amp; Technology Organisation; Commonwealth Scientific &amp; Industrial Research Organisation (CSIRO); National Institute of Water &amp; Atmospheric Research (NIWA) - New Zealand; Australian Antarctic Division</t>
  </si>
  <si>
    <t>Australian Nucl Sci &amp; Technol Org, PMB 1, Menai, NSW 2234, Australia.</t>
  </si>
  <si>
    <t>ams@ansto.gov.au</t>
  </si>
  <si>
    <t>, Andrew/HLX-8550-2023; Trudinger, Cathy/A-2532-2008; Etheridge, David M/B-7334-2013; Hua, Quan/F-9593-2014</t>
  </si>
  <si>
    <t>Etheridge, David/0000-0001-7970-2002; Trudinger, Cathy/0000-0002-4844-2153; Smith, Andrew/0000-0002-9193-2617</t>
  </si>
  <si>
    <t>0168-583X</t>
  </si>
  <si>
    <t>1872-9584</t>
  </si>
  <si>
    <t>NUCL INSTRUM METH B</t>
  </si>
  <si>
    <t>Nucl. Instrum. Methods Phys. Res. Sect. B-Beam Interact. Mater. Atoms</t>
  </si>
  <si>
    <t>10.1016/S0168-583X(00)00280-9</t>
  </si>
  <si>
    <t>Instruments &amp; Instrumentation; Nuclear Science &amp; Technology; Physics, Atomic, Molecular &amp; Chemical; Physics, Nuclear</t>
  </si>
  <si>
    <t>Instruments &amp; Instrumentation; Nuclear Science &amp; Technology; Physics</t>
  </si>
  <si>
    <t>372JR</t>
  </si>
  <si>
    <t>WOS:000165231000105</t>
  </si>
  <si>
    <t>van der Kemp, WJM; Alderliesten, C; van der Borg, K; Holmlund, P; de Jong, AFM; Karlöf, L; Lamers, RAN; Oerlemans, J; Thomassen, M; van de Wal, RSW</t>
  </si>
  <si>
    <t>Very little in situ produced radiocarbon retained in accumulating Antarctic ice</t>
  </si>
  <si>
    <t>in situ C-14 production; radiocarbon dating; ice; AMS; Antarctica</t>
  </si>
  <si>
    <t>POLAR ICE; ABLATION RATES; C-14</t>
  </si>
  <si>
    <t>Ice samples from Dronning Maud Land, Antarctica, were analyzed for (CO2)-C-14 and (CO)-C-14 by accelerator mass spectrometry. Only a small amount (similar to2%) of in situ produced radiocarbon was detected. The calibrated radiocarbon ages, corrected for in situ produced C-14, are in fair agreement with age estimates obtained from stratigraphical methods added to a gas inclusion model. The ages of the entrapped air range from recent to ca. 1200 AD. (C) 2000 Elsevier Science B.V. All rights reserved.</t>
  </si>
  <si>
    <t>Univ Utrecht, Dept Phys &amp; Astron, Inst Subatom Phys, NL-3508 TA Utrecht, Netherlands; Stockholm Univ, Dept Phys Geog, S-10691 Stockholm, Sweden; Norwegian Polar Inst, Polar Environm Ctr, N-9005 Tromso, Norway; Univ Utrecht, Inst Marine &amp; Atmospher Res, NL-3508 TA Utrecht, Netherlands</t>
  </si>
  <si>
    <t>Utrecht University; Stockholm University; Norwegian Polar Institute; Utrecht University</t>
  </si>
  <si>
    <t>van der Kemp, WJM (corresponding author), Univ Utrecht, Dept Phys &amp; Astron, Inst Subatom Phys, POB 80000, NL-3508 TA Utrecht, Netherlands.</t>
  </si>
  <si>
    <t>van der Borg, Klaas/K-1990-2019; van der Borg, Klaas/W-6101-2018; Oerlemans, Johannes/G-3802-2011; van de wal, roderik/D-1705-2011</t>
  </si>
  <si>
    <t>10.1016/S0168-583X(00)00134-8</t>
  </si>
  <si>
    <t>WOS:000165231000107</t>
  </si>
  <si>
    <t>Smith, AM; Fink, D; Child, D; Levchenko, VA; Morgan, VI; Curran, M; Etheridge, DM; Elliott, G</t>
  </si>
  <si>
    <t>7Be and 10Be concentrations in recent firn and ice at Law Dome, Antarctica</t>
  </si>
  <si>
    <t>Be-7; Be-10; deposition; scavenging; accumulation rate; Antarctica</t>
  </si>
  <si>
    <t>GREENLAND ICE; SOLAR MODULATION; POLAR ICE; CORE; BERYLLIUM-10; VARIABILITY; RECORDS; CLIMATE; PROBE</t>
  </si>
  <si>
    <t>Over the past three years, the Australian National Tandem for Applied Research (ANTARES) AMS facility at ANSTO has been expanding its sample preparation and measurement capability, particularly for Be-10, Al-26 and Cl-36, During this time, ANSTO has continued its collaboration with the AAD and CSIRO Atmospheric Research on the measurement of cosmogenic isotopes from Law Dome, Antarctica. This research program has been supported by the construction of a dedicated geochemistry laboratory for the processing of ice and rock samples for the preparation of AMS targets. Here we present our first results for Be-10 concentrations measured in ice cores from three sites at Law Dome and describe the sample processing protocol and aspects of the AMS measurement procedure. These sites are characterised by an eightfold difference in accumulation rate with a common precipitation source. In combination with an established ice chronology, this has enabled some preliminary findings concerning the relationship between the snow accumulation rate and the measured Be-10 concentration for Law Dome during recent times. Additionally, we present Be-7 and Be-10/Be-7 measurements made for a few surface snow samples from Law Dome and Australia. (C) 2000 Elsevier Science B.V. All rights reserved.</t>
  </si>
  <si>
    <t>Australian Nucl Sci &amp; Technol Org, Menai, NSW 2234, Australia; CRC, Antarctic Cooperat Res Ctr, Hobart, Tas 7001, Australia; AAD, Hobart, Tas 7001, Australia; CSIRO, Atmospher Res, Aspendale, Vic 3195, Australia</t>
  </si>
  <si>
    <t>Australian Nuclear Science &amp; Technology Organisation; Australian Antarctic Division; Commonwealth Scientific &amp; Industrial Research Organisation (CSIRO)</t>
  </si>
  <si>
    <t>Smith, AM (corresponding author), Australian Nucl Sci &amp; Technol Org, PMB 1, Menai, NSW 2234, Australia.</t>
  </si>
  <si>
    <t>Etheridge, David M/B-7334-2013; , Andrew/HLX-8550-2023; fink, David/A-9518-2012</t>
  </si>
  <si>
    <t>fink, David/0000-0001-7156-4602; Smith, Andrew/0000-0002-9193-2617</t>
  </si>
  <si>
    <t>10.1016/S0168-583X(00)00281-0</t>
  </si>
  <si>
    <t>WOS:000165231000144</t>
  </si>
  <si>
    <t>Butler, HG; Rogerson, A</t>
  </si>
  <si>
    <t>Naked amoebae from benthic sediments in the Clyde Sea Area, Scotland</t>
  </si>
  <si>
    <t>MARINE AMEBAS; HETEROTROPHIC AMEBAS; N-SP; RHIZOPODA; ABUNDANCE; HELIOZOA; BAY; GYMNAMOEBAE; PROTISTA; ATLANTIC</t>
  </si>
  <si>
    <t>The species diversity of benthic naked amoebae in marine sediments of the Clyde Sea Area in Scotland was investigated during a year-long study in 1991. In total, approximately 70 taxa of amoebae, representing 24 genera, were observed. Some isolates could not be identified and a few were probably undescribed species new to science. Most had morphologies well-suited to life in the interstitial spaces of sediments. Many were small (&lt;10 pm) and either limax (cylindrical and slug-like) forms or very flattened genera such as Vannella, Platyamoeba, Clydonella and Stygamoeba. This study provides new information on the biodiversity of naked amoebae and draws attention to a group of protists that are common but easily overlooked in marine sediments.</t>
  </si>
  <si>
    <t>British Antarctic Survey, Cambridge CB3 0ET, England; Univ Marine Biol Stn, Millport KA28 0EG, Scotland; Nova SE Univ, Oceanog Ctr, Dania, FL 33004 USA</t>
  </si>
  <si>
    <t>UK Research &amp; Innovation (UKRI); Natural Environment Research Council (NERC); NERC British Antarctic Survey; Nova Southeastern University</t>
  </si>
  <si>
    <t>10.1080/00785326.2000.10409434</t>
  </si>
  <si>
    <t>372YU</t>
  </si>
  <si>
    <t>WOS:000165262300004</t>
  </si>
  <si>
    <t>Cockell, CS</t>
  </si>
  <si>
    <t>Ultraviolet radiation and the photobiology of earth's early oceans</t>
  </si>
  <si>
    <t>DEEP-CHLOROPHYLL MAXIMUM; CARBON-DIOXIDE CONCENTRATIONS; UV-B IRRADIATION; SOLAR ULTRAVIOLET; OZONE DEPLETION; DEINOCOCCUS-RADIODURANS; ANTARCTIC PHYTOPLANKTON; MARINE PHOTOSYNTHESIS; OPTICAL-PROPERTIES; EARLY EVOLUTION</t>
  </si>
  <si>
    <t>During the Archean era (3.9-2.5 Ga ago) the earth was dominated by an oceanic lithosphere. Thus, understanding how life arose and persisted in the Archean oceans constitutes a major challenge in understanding early Life on earth. Using a radiative transfer model of the late Archean oceans, the photobiological environment of the photic zone and the surface microlayer is explored at the time before the formation of a significant ozone column. DNA damage rates might have been approximately three orders of magnitude higher in the surface layer of the Archean oceans than on the present-day oceans, but at 30 m depth, damage may have been similar to the surface of the present-day oceans. However at this depth the risk of being transported to surface waters in the mixed layer was high. The mixed layer may have been inhabited by a low diversity W-resistant biota. But it could have been numerically abundant. Repair capabilities similar to Deinococcus radiodurans would be sufficient to survive in the mixed layer. Diversity may have been greater in the region below the mixed layer and above the light compensation point corresponding to today's 'deep chlorophyll maximum'. During much of the Archean the air-water interface was probably an uninhabitable extreme environment for neuston. The habitability of some regions of the photic zone is consistent with the evidence embodied in the geologic record, which suggests an oxygenated upper layer in the Archean oceans. During the early Proterozoic, as ozone concentrations increased to a column abundance above 1 x 10(17) cm(-2), UV stress would have been reduced and possibly a greater diversity of organisms could have inhabited the mixed layer. However, nutrient upwelling from newly emergent continental crusts may have been more significant in increasing total planktonic abundance in the open oceans and coastal regions than photobiological factors. The photobiological environment of the Archean oceans has implications for the potential cross-transfer of Life between other water bodies of the early Solar System, possibly on early Mars or the water bodies of a wet, early Venus.</t>
  </si>
  <si>
    <t>10.1023/A:1006765405786</t>
  </si>
  <si>
    <t>359TD</t>
  </si>
  <si>
    <t>WOS:000089627400008</t>
  </si>
  <si>
    <t>Gersonde, R; Zielinski, U</t>
  </si>
  <si>
    <t>The reconstruction of late Quaternary Antarctic sea-ice distribution - the use of diatoms as a proxy for sea-ice</t>
  </si>
  <si>
    <t>PALAEOGEOGRAPHY PALAEOCLIMATOLOGY PALAEOECOLOGY</t>
  </si>
  <si>
    <t>diatoms; paleoceanography; Pleistocene; sea-ice; sediment trap; Southern Ocean</t>
  </si>
  <si>
    <t>LAST-GLACIAL-MAXIMUM; SOUTHERN-OCEAN; ATLANTIC SECTOR; WEDDELL SEA; SURFACE SEDIMENTS; PARTICLE-FLUX; CLIMATE MODEL; ROSS SEA; EXTENT; ASSEMBLAGES</t>
  </si>
  <si>
    <t>The study of annual diatom transfer from the Southern Ocean surface to the sea floor using time-series sediment traps combined with the mapping of diatom assemblages from surface sediments results in the definition of a proxy for past variations of sea-ice extent. The application and robustness of the proposed proxy are demonstrated by the study of Late Pleistocene sediment cores recovered from different environmental regimes in the Southern Ocean. Relative amounts of the sea-ice indicator diatoms Fragilariopsis cylindrus and Fragilariopsis curta of &gt; 3% in diatom assemblages preserved in sediments are representative of the presence of seasonal winter sea-ice. Summer sea-ice occurrence is signalled by a distinct drop in biogenic sedimentation rate as a result of strongly reduced biogenic export, in the presence (&gt;3% of diatom assemblage) of the deep-temperature diatom Fragilariopsis obliquecostata. The spatial and temporal distribution pattern of the sea-ice proxy indicates significant sea-ice variations during Marine Isotope Stages 1 and 5 in the present Antarctic Zone of the Southern Ocean. During glacial maxima, the Antarctic winter sea-ice was extended into the present Polar Front Zone, while the Antarctic summer sea-ice was most probably expanded into the area of the present winter sea-ice edge. During the short climatic optima at the onset of interglacial periods, the winter sea-ice extent was distinctly reduced. (C) 2000 Elsevier Science B.V. All rights reserved.</t>
  </si>
  <si>
    <t>Alfred Wegener Inst Polar &amp; Marine Res, D-27568 Bremerhaven, Germany</t>
  </si>
  <si>
    <t>Alfred Wegener Inst Polar &amp; Marine Res, Columbusstr, D-27568 Bremerhaven, Germany.</t>
  </si>
  <si>
    <t>rgersonde@awi-bremerhaven.de</t>
  </si>
  <si>
    <t>0031-0182</t>
  </si>
  <si>
    <t>1872-616X</t>
  </si>
  <si>
    <t>PALAEOGEOGR PALAEOCL</t>
  </si>
  <si>
    <t>Paleogeogr. Paleoclimatol. Paleoecol.</t>
  </si>
  <si>
    <t>10.1016/S0031-0182(00)00131-0</t>
  </si>
  <si>
    <t>Geography, Physical; Geosciences, Multidisciplinary; Paleontology</t>
  </si>
  <si>
    <t>Physical Geography; Geology; Paleontology</t>
  </si>
  <si>
    <t>360EW</t>
  </si>
  <si>
    <t>WOS:000089654300004</t>
  </si>
  <si>
    <t>Carter, L; Neil, HL; McCave, IN</t>
  </si>
  <si>
    <t>Glacial to interglacial changes in non-carbonate and carbonate accumulation in the SW Pacific Ocean, New Zealand</t>
  </si>
  <si>
    <t>New Zealand; palaeoceanography; sediment fluxes</t>
  </si>
  <si>
    <t>WESTERN BOUNDARY CURRENT; NORTHERN NEW-ZEALAND; ANTARCTIC CIRCUMPOLAR CURRENT; SOUTHEASTERN NEW-ZEALAND; SOUTHWEST PACIFIC; CONTINENTAL-SHELF; SOUTHERN-OCEAN; CHATHAM RISE; KAWAKAWA TEPHRA; SEDIMENT</t>
  </si>
  <si>
    <t>Flutes of carbonate and non-carbonate (terrigenous + biogenic siliceous) sediment, back to a maximum of marine isotope stage (MIS) 6, were determined for 54 cores from off eastern New Zealand. Mass accumulation rates (MARs) were derived using dry bulk densities measured directly from fresh cores or, in the case of dry archived samples, on estimates from a density/carbonate relationship. MARs exhibit wide spatial and temporal variability in response to (i) the location of cores relative to the terrigenous source of New Zealand, current pathways and local oceanographic features, and (ii) palaeoclimatic change. For MIS 1-2, non-carbonate accumulated at a high rate between 27 and 18 ka (calendar years), due to an influx of waterborne and aeolian terrigenous detritus together with localised production of biogenic silica under a northward intrusion of subantarctic waters, and an increase in wind-induced upwelling. By 18-12 ka, non-carbonate MARs reduced as winds ameliorated and sea level rose to confine some of the terrigenous load to the continental shelf. The Holocene transgression was accompanied by warmer sea surface temperatures, the formation of coastal and lacustrine sediment traps, and more widespread terrestrial vegetation. These conditions further reduced the deep oceanic non-carbonate flux to levels about half those of glacial periods. In contrast, carbonate MARs were lower in cold periods, reflecting lower productivity, increased dissolution and, in the case of the generally productive waters of Chatham Rise, to redistribution by bottom currents. However, off central New Zealand, carbonate production was higher on the continental margin, possibly because of enhanced upwelling under the strong wind regime of MIS 2. Such localised effects produced glacial carbonate MARs higher than interglacial MIS 1 values. For the rest of the region, carbonate fluxes increased to an early to middle MIS 1 maximum before generally declining in recent times. (C) 2000 Elsevier Science B.V. All rights reserved.</t>
  </si>
  <si>
    <t>Natl Inst Water &amp; Atmosphere, Wellington, New Zealand; Univ Cambridge, Dept Earth Sci, Cambridge CB2 3EQ, England</t>
  </si>
  <si>
    <t>National Institute of Water &amp; Atmospheric Research (NIWA) - New Zealand; University of Cambridge</t>
  </si>
  <si>
    <t>Natl Inst Water &amp; Atmosphere, POB 14901, Wellington, New Zealand.</t>
  </si>
  <si>
    <t>McCave, Nick N/G-7323-2016; McCave, I. Nick/O-3992-2018</t>
  </si>
  <si>
    <t>McCave, Nick N/0000-0002-4702-5489; McCave, I. Nick/0000-0002-4702-5489</t>
  </si>
  <si>
    <t>10.1016/S0031-0182(00)00137-1</t>
  </si>
  <si>
    <t>WOS:000089654300008</t>
  </si>
  <si>
    <t>Diekmann, B; Kuhn, G; Rachold, V; Abelmann, A; Brathauer, U; Fütterer, DK; Gersonde, R; Grobe, H</t>
  </si>
  <si>
    <t>Terrigenous sediment supply in the Scotia Sea (Southern Ocean):: response to Late Quaternary ice dynamics in Patagonia and on the Antarctic Peninsula</t>
  </si>
  <si>
    <t>continental glaciation; geochemistry; mineralogy; sediment provenance; Southern Ocean; terrigenous materials</t>
  </si>
  <si>
    <t>UPPER CONTINENTAL-CRUST; LAST GLACIAL MAXIMUM; NORTH-ATLANTIC OCEAN; WEDDELL-SEA; CIRCUMPOLAR CURRENT; SURFACE SEDIMENTS; PACIFIC MARGIN; SHEET; RECORD; RETREAT</t>
  </si>
  <si>
    <t>Geochemical and mineralogical compositions of modern and Late Quaternary marine sediments from the Scotia Sea trace sources and transport paths of terrigenous sediment. We discuss downcore variations of compositional data of two sediment cores from the northern and southern Scotia Sea that correlate with fluctuations in magnetic susceptibility. Sediments were derived from very different sources at both localities, as revealed by contrasting clay-mineral assemblages. However, a common feature is the input of more basic and undifferentiated crustal material with the potential of high magnetic susceptibility during glacial periods, indicated by variable quartz/feldspar ratios and major, trace and rare earth elements. Terrigenous sediments mainly originate from nearby terrestrial sources or are introduced through interbasinal sediment transfer from adjacent seas. The observed temporal compositional variations have to be attributed to changes in the relative detrital contributions from the diverse source areas. Ice-mass extensions in southern Patagonia, on the Antarctic Peninsula and adjacent islands likely control the supply of glaciogenic detritus to the open ocean during times of glacial expansion, diluting the sediment input of interbasinal origin. Current transport is mainly responsible for sediment dispersal to the pelagic Scotia Sea and may amplify the glaciological source signals during glacial climate periods, because of a stronger wind forcing of the Antarctic Circumpolar Current. (C) 2000 Elsevier Science B.V, All rights reserved.</t>
  </si>
  <si>
    <t>Alfred Wegener Inst Polar &amp; Marine Res, D-27515 Bremerhaven, Germany; Alfred Wegener Inst Polar &amp; Marine Res, D-14401 Potsdam, Germany; Geoforschungszentrum Potsdam, D-14473 Potsdam, Germany</t>
  </si>
  <si>
    <t>Helmholtz Association; Alfred Wegener Institute, Helmholtz Centre for Polar &amp; Marine Research; Helmholtz Association; Alfred Wegener Institute, Helmholtz Centre for Polar &amp; Marine Research; Helmholtz Association; Helmholtz-Center Potsdam GFZ German Research Center for Geosciences</t>
  </si>
  <si>
    <t>Alfred Wegener Inst Polar &amp; Marine Res, POB 12 01 61, D-27515 Bremerhaven, Germany.</t>
  </si>
  <si>
    <t>bdiekmann@awi-bremerhaven.de</t>
  </si>
  <si>
    <t>Grobe, Hannes/0000-0002-4133-2218; Abelmann, Andrea/0000-0001-9432-0002; Diekmann, Bernhard/0000-0001-5129-3649; Kuhn, Gerhard/0000-0001-6069-7485</t>
  </si>
  <si>
    <t>10.1016/S0031-0182(00)00138-3</t>
  </si>
  <si>
    <t>WOS:000089654300009</t>
  </si>
  <si>
    <t>Paul, HA; Zachos, JC; Flower, BP; Tripati, A</t>
  </si>
  <si>
    <t>Orbitally induced climate and geochemical variability across the Oligocene/Miocene boundary</t>
  </si>
  <si>
    <t>ASTRONOMICAL CALIBRATION; MIDDLE MIOCENE; STABLE-ISOTOPE; SEA-LEVEL; ICE AGES; RECORDS; EVOLUTION; OXYGEN; CYCLES; OCEAN</t>
  </si>
  <si>
    <t>To assess the influence of orbital-scale variations on late Oligocene to early Miocene climate and ocean chemistry, high-resolution (similar to 5 kyr) benthic foraminiferal carbon and oxygen isotope and percent coarse fraction time series were constructed for Ocean Drilling Program site 929 on Ceara Rise in the western equatorial Atlantic. These time series exhibit pervasive low- to high-frequency variability across a 5-Myr interval (20.5-25.4 Ma). The records also reveal several large-scale secular variations including two positive (similar to 1.6 parts per thousand) oxygen isotope excursions at 22.95 and 21.1 Ma, suggestive of large but brief glacial maxima (Mi-l and Mi-la events of Miller et al. [1991]), and a long-term cyclical increase in the carbon isotopic composition of seawater (shift of similar to 1.52 parts per thousand) that reaches a maximum coincident with peak delta(18)O values at 22.95 Ma. Lower-resolution (similar to 25 kyr) records constructed from benthic and planktonic foraminifera as well as bulk carbonate at a shallower site on Ceara Rise (site 926) for the period 21.7-24.9 Ma covary with site 929 delta(18)O values reflecting changes in Antarctic ice-volume. Likewise, covariance among carbon isotopic records of bulk sediment, benthic, and planktonic foraminifera suggest that the low-frequency cycles (similar to 400 kyr) and long-term increase in delta(13)C values represent changes in the mean carbon composition of seawater Sigma CO2. The time series presented here constitute the longest, most continuous, and highest-resolution records of pre-Pliocene climate and oceanography to date. The site 929 carbon and oxygen isotope power spectra show significant concentrations of variance at similar to 400, 100, and 41 kyr, demonstrating that orbitally induced oscillations have been a normal characteristic of the global climate system since at least the Oligocene, including periods of equable climate and times with no apparent Northern Component Water production.</t>
  </si>
  <si>
    <t>ETH Zentrum, Swiss Fed Inst Technol, Inst Geol, CH-8092 Zurich, Switzerland; Univ Calif Santa Cruz, Dept Earth Sci, Santa Cruz, CA 95064 USA; Univ S Florida, Dept Marine Sci, St Petersburg, FL 33701 USA</t>
  </si>
  <si>
    <t>Swiss Federal Institutes of Technology Domain; ETH Zurich; University of California System; University of California Santa Cruz; State University System of Florida; University of South Florida</t>
  </si>
  <si>
    <t>Paul, HA (corresponding author), ETH Zentrum, Swiss Fed Inst Technol, Inst Geol, CH-8092 Zurich, Switzerland.</t>
  </si>
  <si>
    <t>Zachos, James/A-7674-2008; Tripati, Aradhna/C-9419-2011</t>
  </si>
  <si>
    <t>Zachos, James/0000-0001-8439-1886; Tripati, Aradhna/0000-0002-1695-1754</t>
  </si>
  <si>
    <t>10.1029/1999PA000443</t>
  </si>
  <si>
    <t>358WY</t>
  </si>
  <si>
    <t>WOS:000089581200001</t>
  </si>
  <si>
    <t>Pagani, M; Arthur, MA; Freeman, KH</t>
  </si>
  <si>
    <t>Variations in Miocene phytoplankton growth rates in the southwest Atlantic: Evidence for changes in ocean circulation</t>
  </si>
  <si>
    <t>SURFACE-TEMPERATURE; DRAKE PASSAGE; WATER; PALEOCEANOGRAPHY; PACIFIC; FRACTIONATION; BIOGEOGRAPHY; FORAMINIFERA; EVOLUTION; BOUNDARY</t>
  </si>
  <si>
    <t>Changes in ocean circulation are often credited as the primary control on large-scale climate change during the Miocene. This study investigates the latest Oligocene to middle Miocene evolution of Southern Ocean circulation by evaluating stable isotopic trends of shallow- and deep-dwelling planktonic foraminifera, as well as epsilon(p) records reconstructed from the carbon isotopic composition of diunsaturated alkenones in the southwestern Altantic Ocean (Deep Sea Drilling Project site 516). Changes in epsilon(p) at site 516 closely paralleled the opening and deepening of the Drake Passage as inferred from seafloor magnetic anomalies. A large negative shift in epsilon(p) at similar to 20.3 Ma is interpreted to reflect an increase in upper water column nutrient concentrations, caused by the onset or strengthening of the Antarctic Circumpolar Current (ACC). Measurable alkenone concentrations disappear by similar to 17 Ma, prior to a collapse in surface-to-thermocline delta(18)O and delta(13)C gradients. This is interpreted as reflecting a severe decrease in mixed layer nutrient Concentrations and reduced proto-Antarctic Intermediate Water influence. The delta(18)O gradient was reestablished by 14.5 Ma, coincident with the hypothesized East Antarctic ice sheet expansion, suggesting a direct relationship between increased strength of the ACC and the largest climate shift of the middle Miocene.</t>
  </si>
  <si>
    <t>Univ Calif Santa Cruz, Dept Earth Sci, Santa Cruz, CA 95064 USA; Penn State Univ, Dept Geosci, University Pk, PA 16802 USA</t>
  </si>
  <si>
    <t>University of California System; University of California Santa Cruz; Pennsylvania Commonwealth System of Higher Education (PCSHE); Pennsylvania State University; Pennsylvania State University - University Park</t>
  </si>
  <si>
    <t>Pagani, M (corresponding author), Univ Calif Santa Cruz, Dept Earth Sci, Santa Cruz, CA 95064 USA.</t>
  </si>
  <si>
    <t>Freeman, Katherine H/H-5140-2011; Pagani, Mark/B-3233-2008; Arthur, Michael A/E-2872-2014</t>
  </si>
  <si>
    <t>Freeman, Katherine H/0000-0002-3350-7671;</t>
  </si>
  <si>
    <t>10.1029/1999PA000484</t>
  </si>
  <si>
    <t>WOS:000089581200002</t>
  </si>
  <si>
    <t>Willamowski, C; Zahn, R</t>
  </si>
  <si>
    <t>Upper ocean circulation in the glacial North Atlantic from benthic foraminiferal isotope and trace element fingerprinting</t>
  </si>
  <si>
    <t>DEEP-WATER CIRCULATION; MILLENNIAL-SCALE CHANGES; LAST 30,000 YEARS; THERMOHALINE CIRCULATION; HEINRICH EVENTS; INTERMEDIATE WATER; REYKJANES RIDGE; CARBON-DIOXIDE; CLIMATE-CHANGE; CADMIUM</t>
  </si>
  <si>
    <t>Benthic Cd/Ca and delta(13)C records from the midlatitude and northern North Atlantic are used to derive nutrient inventories and water mass distribution patterns for the past 50,000 years. Inferred Holocene water column Cd concentrations (CdW') and delta(13)C values are 0.17-0.24 nmol kg(-1) and 1.0-1.3 parts per thousand Peedee belemnite (PDB), which document the dominance of nutrient-depleted Mediterranean Outflow Water (MOW) and Upper North Atlantic Deep Water (UNADW). Glacial benthic Cd/Ca and delta(13)C indicate a continued contribution of UNADW to the northern North Atlantic and upper Portuguese margin (CdW'=0.08 nmol kg(-1); delta(13)C=+1.86 parts per thousand, PDB). At the upper Moroccan margin, glacial CdW' (0.23 nmol kg(-1)) is higher, and delta(13)C (+1.44 parts per thousand, PDB) is lower. During Heinrich events, benthic delta(13)C decreases by up to 1.3 parts per thousand, and peak Cd/Ca increases by 0.1-0.14 mu mol mol(-1); water column phosphorus equivalents are 1.8-2.8 mu mol kg(-1). The combined Cd/Ca and delta(13)C pattern indicates that during mean glacial conditions Antarctic Intermediate Water, (AAIW) reached the midlatitude northeast Atlantic (30 degrees N). During Heinrich events, AAIW contribution maximized so that Southern Hemisphere waters filled the North Atlantic basin from bottom water to middepth level.</t>
  </si>
  <si>
    <t>Forschungszentrum Marine Geowissensch, GEOMAR, Kiel, Germany</t>
  </si>
  <si>
    <t>Helmholtz Association; GEOMAR Helmholtz Center for Ocean Research Kiel</t>
  </si>
  <si>
    <t>Willamowski, C (corresponding author), Univ Aix Marseille 3, CNRS, CEREGE, Europole Petit Arbois,BP 80, F-13545 Aix En Provence, France.</t>
  </si>
  <si>
    <t>10.1029/1999PA000467</t>
  </si>
  <si>
    <t>WOS:000089581200005</t>
  </si>
  <si>
    <t>Tomita, T; Aoyama, H; Kitamura, T; Sekiguchi, C; Murai, T; Matsuda, T</t>
  </si>
  <si>
    <t>Factor structure of psychobiological seven-factor model of personality: a model-revision</t>
  </si>
  <si>
    <t>PERSONALITY AND INDIVIDUAL DIFFERENCES</t>
  </si>
  <si>
    <t>factor structure; temperament and character inventory; factorial validity; confirmatory factor analysis; psychobiological seven-factor model</t>
  </si>
  <si>
    <t>CONFIRMATORY FACTOR-ANALYSIS; DOPAMINE-RECEPTOR GENE; OF-FIT INDEXES; NOVELTY SEEKING; REWARD-DEPENDENCE; SAMPLE-SIZE; QUESTIONNAIRE; TEMPERAMENT; DIMENSIONS; ASSOCIATION</t>
  </si>
  <si>
    <t>The purpose of this study was to examine the factor structure in the Temperament and Character Inventory [TCI; Cloninger, C. R., Svrakic, D. M., &amp; Przybeck, T. R. (1993). A psychobiological model of temperament and character. Archives of General Psychiatry, 50, 975-990.] and to determine appropriate subscales and items to assess the psychobiological seven-factor model with a nonclinical Japanese sample by the use of the TCI short version. Among 383 ex-members of the Japanese Antarctic Research Expedition, confirmatory factor analysis of the TCI showed that temperament consisted of four factors and character of three, as the original model suggested. Harm Avoidance, Reward Dependence, Self Transcendence and Cooperativeness may be interpreted as a constellation of interrelated but possibly discrete dimensions. Most of the items were loaded into each corresponding subscale, although a few of the items were not confirmed as appropriate. Implications and the future direction of personality research are discussed. (C) 2000 Elsevier Science Ltd. All rights reserved.</t>
  </si>
  <si>
    <t>NIMH, Dept Sociocultural Env Res, Chiba 2720827, Japan; Natl Space Dev Agcy Japan, Tokyo 1056190, Japan; Natl Inst Polar Res, Tokyo 1730003, Japan</t>
  </si>
  <si>
    <t>Japan Aerospace Exploration Agency (JAXA); Research Organization of Information &amp; Systems (ROIS); National Institute of Polar Research (NIPR) - Japan</t>
  </si>
  <si>
    <t>Tomita, T (corresponding author), NIMH, Dept Sociocultural Env Res, 1-7-3 Kohnodai, Chiba 2720827, Japan.</t>
  </si>
  <si>
    <t>0191-8869</t>
  </si>
  <si>
    <t>PERS INDIV DIFFER</t>
  </si>
  <si>
    <t>Pers. Individ. Differ.</t>
  </si>
  <si>
    <t>10.1016/S0191-8869(99)00227-5</t>
  </si>
  <si>
    <t>Psychology, Social</t>
  </si>
  <si>
    <t>Psychology</t>
  </si>
  <si>
    <t>343RJ</t>
  </si>
  <si>
    <t>WOS:000088715100009</t>
  </si>
  <si>
    <t>Saiz-Salinas, JI; Dean, HK; Cutler, EB</t>
  </si>
  <si>
    <t>Echiura from Antarctic and adjacent waters</t>
  </si>
  <si>
    <t>A collection of 555 Echiura from the far southern seas made by American research vessels (1962-1986) yielded 9 species. An illustrated key and morphological notes are provided. Geographical ranges of these taxa are expanded, but only one (Protobonellia nikitini) is new to Antarctica. The large number of specimens allows a more complete description of certain characters, e.g., for Echiurus antarcticus. Biometric analyses showed the delayed ontogeny of gonoducts, but early appearance of anal vesicles. Previously reported Antarctic echiurans not found in this study are discussed and two putative taxa of Salvini-Plawen are considered no longer valid (E. torulobotus = E. antarcticus and Binoraphorus geminolobotus = species inquirendum). Zoogeographical analysis shows no differential distribution along horizontal gradients, but depth is important. The Echiuridae prefer sub-littoral and shallow bathyal water while the Bonelliidae are more common at bathyal and abyssal depths.</t>
  </si>
  <si>
    <t>Harvard Univ, Museum Comparat Zool, Dept Invertebrate Zool, Cambridge, MA 02138 USA; Univ Basque Country, Dept Zool &amp; DCA, E-48080 Bilbao, Spain</t>
  </si>
  <si>
    <t>Harvard University; University of Basque Country</t>
  </si>
  <si>
    <t>Dean, HK (corresponding author), Harvard Univ, Museum Comparat Zool, Dept Invertebrate Zool, Cambridge, MA 02138 USA.</t>
  </si>
  <si>
    <t>hdean@ici.net</t>
  </si>
  <si>
    <t>Saiz Salinas, Jose Ignacio/I-5216-2015</t>
  </si>
  <si>
    <t>Saiz Salinas, Jose Ignacio/0000-0002-6245-7589</t>
  </si>
  <si>
    <t>10.1007/s003000000135</t>
  </si>
  <si>
    <t>364WF</t>
  </si>
  <si>
    <t>WOS:000089916500001</t>
  </si>
  <si>
    <t>Marquez, MEI; Carlini, AR; Baroni, AV; Slobodianik, NH; de Ferrer, PAR; Godoy, MF</t>
  </si>
  <si>
    <t>Southern elephant seals: IgM concentration in milk of cows and serum of their pups</t>
  </si>
  <si>
    <t>MIROUNGA-LEONINA; COLOSTRUM; MOTHERS; PERIOD</t>
  </si>
  <si>
    <t>Serum and milk Immunoglobulin M (IgM) concentrations in 11 mother-pup pairs were measured in southern elephant seals (Mirounga leonina) throughout lactation during 2 breeding seasons at King George Island. Samples were obtained sequentially throughout the suckling period (approximately 23 days). The IgM concentration was measured by single radial immunodiffusion on agarose plates. Milk IgM concentrations showed significant differences throughout lactation, with the highest concentrations on the Ist day (x = 989.7 mg/dL skimmed milk; SD = 433.2) followed by a sharp fall during the next 3-6 days of the suckling period. The ratio of milk IgM/serum IgM concentrations from mothers ranged from 0.21 to 21.92, with highest values in the Ist day of lactation (x = 8.25, SD = 5.4) and a decrease in concentration as lactation progressed. This was due to the fact that, throughout lactation, milk IgM concentrations fell while serum IgM values showed an increasing trend. Pups showed the lowest serum IgM values in the Ist day of the suckling period (x = 13.0 mg/dL, SD = 4.3) with an increasing trend as lactation progressed. Despite the high IgM concentrations of milk at day 1 of lactation, by 1 week of age pups had serum IgM concentrations only slightly greater than at birth. This suggests that much of this Ig was newly formed and little or no milk IgM was absorbed during the Ist week. Possibly, the function of ingested IgM is to provide local immunity in the pup's gut, during the first few days of postnatal life.</t>
  </si>
  <si>
    <t>Argentine Antarctic Inst, Dept Biol Sci, RA-1010 Buenos Aires, DF, Argentina; Univ Buenos Aires, Sch Pharm &amp; Biochem, Dept Nutr &amp; Food Sci, RA-1113 Buenos Aires, DF, Argentina</t>
  </si>
  <si>
    <t>Argentine Antarctic Inst, Dept Biol Sci, Cerrito 1248, RA-1010 Buenos Aires, DF, Argentina.</t>
  </si>
  <si>
    <t>mitsuki@ffyb.uba.ar</t>
  </si>
  <si>
    <t>Godoy, María/GSM-7519-2022</t>
  </si>
  <si>
    <t>10.1007/s003000000136</t>
  </si>
  <si>
    <t>WOS:000089916500002</t>
  </si>
  <si>
    <t>Hernández-León, SC; Almedia, C; Portillo-Hahnefeld, A; Gómez, M; Montero, I</t>
  </si>
  <si>
    <t>Biomass and potential feeding, respiration and growth of zooplankton in the Bransfield Strait (Antarctic Peninsula) during austral summer</t>
  </si>
  <si>
    <t>DIEL VERTICAL MIGRATION; KRILL EUPHAUSIA-SUPERBA; MARGINAL ICE-ZONE; ASPARTATE-TRANSCARBAMYLASE ACTIVITY; SOUTH GEORGIA; CALANOIDES-ACUTUS; COASTAL WATERS; MARINE PHYTOPLANKTON; COPEPOD INTERACTIONS; GERLACHE STRAIT</t>
  </si>
  <si>
    <t>Biomass (as dry weight and protein content), gut fluorescence, electron transfer system (ETS) and aspartate transcarbamylase (ATC) activities were studied in different size fractions (200-500, 500-1000 mu m and 1-14 mm) in the Bransfield Strait (Antarctic Peninsula) during January 1993. Very low values of zooplankton biomass were observed in all the size classes studied. About 56% of total biomass was due to the large size fraction (1-14 mm) while the smallest one (200-500 mu m) accounted for about 26%. Gut fluorescence values increased in relation to the size class considered, as expected, being the differences from the smaller to the highest size fractions of orders of magnitude. Calculated ingestion rates showed that about 60-80% of total zooplankton ingestion(&lt;14 mm) was due to the smaller organisms. Higher average values and higher variability of specific ETS activity was observed in the smaller size fraction while no differences between size classes were observed for the specific ATC activity. Biomass, gut fluorescence, ETS and ATC activities were not significantly different between the Bellingshausen and Weddell waters, although higher standard deviation was normally found at the former area. With the restrictions of using the above indices to estimate physiological rates, potential grazing of mesozooplankton (&lt;14 mm) accounted for a rather low portion (&lt;10%) of the primary production. The index of growth showed high values, suggesting no food limitation of mesozooplankton. Therefore, other processes such as predation should account for the very low biomass found and for the fate of a large portion of primary production.</t>
  </si>
  <si>
    <t>Univ Las Palmas GC, Fac Ciencias Mar, Las Palmas Gran Canaria, Canary Islands, Spain</t>
  </si>
  <si>
    <t>Universidad de Las Palmas de Gran Canaria</t>
  </si>
  <si>
    <t>Hernández-León, SC (corresponding author), Univ Las Palmas GC, Fac Ciencias Mar, POB 550, Las Palmas Gran Canaria, Canary Islands, Spain.</t>
  </si>
  <si>
    <t>Hernández-León, Santiago/M-2563-2014; DE ALMEIDA, CARLOS CAETANO/K-4265-2016; Gómez, May/L-9561-2014; Almeida, Carlos/AAN-3854-2021</t>
  </si>
  <si>
    <t>Almeida, Carlos/0000-0001-9283-4851; Gomez, May/0000-0002-7396-6493; Hernandez-Leon, Santiago/0000-0002-3085-4969</t>
  </si>
  <si>
    <t>10.1007/s003000000139</t>
  </si>
  <si>
    <t>WOS:000089916500004</t>
  </si>
  <si>
    <t>Pestarino, M; Candiani, S; Masini, MA; Sturla, M; Augello, A; Oliveri, D; Vallarino, M</t>
  </si>
  <si>
    <t>Immunoreactive atrial natriuretic peptide and autoradiographic distribution of atrial natriuretic peptide binding sites in the brain of the Antarctic fish Chionodraco hamatus</t>
  </si>
  <si>
    <t>FACTOR ANF; LOCALIZATION; RELEASE; MORPHOLOGY; EXPRESSION; TELEOSTS; HEART</t>
  </si>
  <si>
    <t>The anatomical distribution of atrial natriuretic peptide (ANP)-immunoreactive structures and the autoradiographic localization of ANP binding sites were studied in the brain of the Antarcric fish, Chionodraco hamatus. ANP-containing elements were colocated with ANP binding sites in the dorsal medial and lateral subdivisions of the telencephalon, prethalamic nuclear complex, and in the nucleus of the medial longitudinal fasciculus of the mesencephalon. However, mismatching was observed in other brain regions, particularly at mesencephalic and metencephalic levels. In the pituitary, ANP immunoreactivity occurred only in the pars distalis, whereas ANP binding sites were localized in the whole pituitary. In this paper we describe the occurrence of ANP immunoreactivity and ANP binding sites in the brain and pituitary of an Antarctic fish. In particular, in the cerebellum and pituitary of C. hamatus, ANP binding sites are distributed in corresponding brain regions of dipnoans, amphibians and mammals. The immunocytochemical and histoautoradiographic data suggest that ANP acts as neuromodulator in the brain of C. hamatus. Moreover, the presence of ANP-like substances in tanycytes lining the diencephalic ventricle suggests a chemosensorial role for such liquor-contacting cells and a possible modulatory effect of ANP on the osmoregulation of the cerebrospinal fluid.</t>
  </si>
  <si>
    <t>Univ Genoa, Dept Biol Sperimentale Ambientale &amp; Applicata, Sez Neuroendocrinol &amp; Biol Svilupppo, I-16132 Genoa, Italy</t>
  </si>
  <si>
    <t>Univ Genoa, Dept Biol Sperimentale Ambientale &amp; Applicata, Sez Neuroendocrinol &amp; Biol Svilupppo, Viale Benedetto XV 5, I-16132 Genoa, Italy.</t>
  </si>
  <si>
    <t>pesta@uinige.it</t>
  </si>
  <si>
    <t>Pestarino, Mario/AAN-8128-2021; Augello, Andrea/C-7321-2013; Candiani, Simona/P-8640-2014; Pestarino, Mario/B-9062-2011</t>
  </si>
  <si>
    <t>Augello, Andrea/0000-0001-5959-7989; Candiani, Simona/0000-0002-4453-5475; Pestarino, Mario/0000-0003-1681-8950</t>
  </si>
  <si>
    <t>10.1007/s003000000140</t>
  </si>
  <si>
    <t>WOS:000089916500005</t>
  </si>
  <si>
    <t>Jackson, GD; Shaw, AGP; Lalas, C</t>
  </si>
  <si>
    <t>Distribution and biomass of two squid species off southern New Zealand:: Nototodarus sloanii and Moroteuthis ingens</t>
  </si>
  <si>
    <t>CEPHALOPODA; ONYCHOTEUTHIDAE; WATERS; OCEANOGRAPHY; ATLANTIC; PREDATORS; ABUNDANCE; GROWTH; CYCLE; OCEAN</t>
  </si>
  <si>
    <t>The distribution and biomass of two species of squid, the ommastrephid arrow squid Nototodarus sloanii and the onychoteuthid squid Moroteuthis ingens, were analysed off southern New Zealand. These two species are the most important and abundant species in this region of the South Pacific Ocean. Data were obtained from extensive NIWA research cruises over 10 years. There was a sharp demarcation between the distribution of the two species, with N. sloanii occurring predominantly shallower than 600 m, with the greatest biomass less than 300 m. In contrast, M. ingens had the highest biomass between 650 and 700 m and occurred down to 1400 m. The biomass of N. sloanii reached more than 3500 kg.km(-2) with an average catch rate of over 186 kg.km(-2) In contrast, the biomass of M. ingens was more than an order of magnitude less, with all catch weights less than 200 kg.km(-2) and an average catch rate less than 17 kg.km(-2). The separation of these two species appeared to be related to depth, temperature and, possibly, salinity. N. sloanii occurred predominantly in warmer, shallower subtropical waters while M. ingens occurred in deeper, cooler subantarctic and antarctic intermediate water masses. The Subtropical Front formed a major barrier between the distribution of these two squid species.</t>
  </si>
  <si>
    <t>Univ Tasmania, Inst Antarctic &amp; So Ocean Studies, Hobart, Tas 7001, Australia; Univ Otago, Dept Marine Sci, Dunedin, New Zealand; Southampton Oceanog Ctr, James Rennell Div, Empress Dock, European Way, Southampton SO14 3ZH, Hants, England; Univ Otago, Dept Surveying, Dunedin, New Zealand</t>
  </si>
  <si>
    <t>University of Tasmania; University of Otago; University of Southampton; NERC National Oceanography Centre; University of Otago</t>
  </si>
  <si>
    <t>Jackson, GD (corresponding author), Univ Tasmania, Inst Antarctic &amp; So Ocean Studies, GPO Box 252-77, Hobart, Tas 7001, Australia.</t>
  </si>
  <si>
    <t>Jackson, George D/AAI-7315-2021; Shaw, Andrew G.P./D-7517-2011</t>
  </si>
  <si>
    <t>Shaw, Andrew/0000-0003-0627-7193</t>
  </si>
  <si>
    <t>10.1007/s003000000141</t>
  </si>
  <si>
    <t>WOS:000089916500006</t>
  </si>
  <si>
    <t>Goldsworthy, PM; Thomson, PG</t>
  </si>
  <si>
    <t>An extreme inland breeding locality of snow petrels (Pagodroma nivea) in the southern Prince Charles Mountains, Antarctica</t>
  </si>
  <si>
    <t>Bird observations were made as part of a preliminary biological survey of the southern half of the Mawson Escarpment in the southern Prince Charles Mountains, Mac.Robertson Land between 26 January and 4 February 1998. A new breeding colony of snow petrels (Pagodroma nivea) is described, together with details of individual snow petrel sightings. At 440 km from the coast, the snow petrel colony is the furthest inland of any confirmed breeding site for this species.</t>
  </si>
  <si>
    <t>Australian Antarctic Div, Kingston, Tas 7050, Australia; Univ Tasmania, Inst Antarctic &amp; So Ocean Studies, Sandy Bay, Tas, Australia</t>
  </si>
  <si>
    <t>Australian Antarctic Division; University of Tasmania</t>
  </si>
  <si>
    <t>Goldsworthy, PM (corresponding author), Australian Antarctic Div, Channel Highway, Kingston, Tas 7050, Australia.</t>
  </si>
  <si>
    <t>paul.goldsworthy@antdiv.gov.au</t>
  </si>
  <si>
    <t>10.1007/s003000000146</t>
  </si>
  <si>
    <t>WOS:000089916500008</t>
  </si>
  <si>
    <t>Raymond, JA</t>
  </si>
  <si>
    <t>Distribution and partial characterization of ice-active molecules associated with sea-ice diatoms</t>
  </si>
  <si>
    <t>MICROBIAL COMMUNITIES; LIPID CLASSES; PLATELET ICE; WEDDELL SEA; FRAZIL ICE; PHYTOPLANKTON; ANTARCTICA; GROWTH; ALGAL</t>
  </si>
  <si>
    <t>Macromolecular ice-active substances (IASs) that cause pitting of ice-crystal surfaces were previously shown to be associated with two species of Antarctic sea-ice diatom. Here it is shown that IASs are associated unknown. with many, if not all, sea-ice diatoms of McMurdo found in Sound, Antarctica, are present in the bottom layer of sea climates. ice in rough proportion to the density of cells, and exist in winter-grown, algae-containing sea ice in different parts of the Southern Ocean and in at least one location in the Arctic. The IASs are retained to varying degrees by dialysis tubing with 50-, 100- and 300-kDa molecular weight cut-offs, suggesting a large molecular weight range, and have a solute requirement (similar to greater than or equal to 200 mOsm/kg) for activity. The IASs occur as smears on both native and denaturing electrophoretic gels, which further suggests a heterogeneous nature. One apparently pure sample contained carbohydrate and protein (ac an approximate 3:2 ratio on a weight basis), suggesting that the IASs are glycoproteins. The IASs preferentially bind to ice crystals, as they are concentrated in the ice phase of partially frozen solutions.</t>
  </si>
  <si>
    <t>Univ Nevada, Dept Biol Sci, Las Vegas, NV 89154 USA</t>
  </si>
  <si>
    <t>Nevada System of Higher Education (NSHE); University of Nevada Las Vegas</t>
  </si>
  <si>
    <t>10.1007/s003000000147</t>
  </si>
  <si>
    <t>WOS:000089916500009</t>
  </si>
  <si>
    <t>Bradner, JR; Sidhu, RK; Yee, B; Skotnicki, ML; Selkirk, PM; Nevalainen, KMH</t>
  </si>
  <si>
    <t>A new microfungal isolate, Embellisia sp., associated with the Antarctic moss Bryum argenteum</t>
  </si>
  <si>
    <t>A microfungal isolate of Embellisia sp. (Simmons), assigned Embellisia sp2, not previously described from the Antarctic, has been identified by morphological means and internal transcribed spacer (ITS) region sequencing. Embellisia sp2 was shown to be associated with the bryophyte Bryum argenteum, collected from Marble Point in Southern Victoria Land, Antarctica, and grew only in samples plated from crushed moss tissue and surface-sterilized leafy stems. Two other types of microfungi, Penicillium sp. and Trichoderma sp., were cultivated from a surface rinse of the moss.</t>
  </si>
  <si>
    <t>Macquarie Univ, Sch Biol Sci, N Ryde, NSW 2109, Australia; Australian Natl Univ, Res Sch Phys Sci, Canberra, ACT 0220, Australia</t>
  </si>
  <si>
    <t>Macquarie University; Australian National University</t>
  </si>
  <si>
    <t>Nevalainen, KMH (corresponding author), Macquarie Univ, Sch Biol Sci, N Ryde, NSW 2109, Australia.</t>
  </si>
  <si>
    <t>hnevalai@rna.bio.mq.edu.au</t>
  </si>
  <si>
    <t>Nevalainen, Helena/0000-0003-0083-4630</t>
  </si>
  <si>
    <t>10.1007/s003000000161</t>
  </si>
  <si>
    <t>WOS:000089916500010</t>
  </si>
  <si>
    <t>Laurell, H; Contreras, JA; Castan, I; Langin, D; Holm, C</t>
  </si>
  <si>
    <t>Analysis of the psychrotolerant property of hormone-sensitive lipase through site-directed mutagenesis</t>
  </si>
  <si>
    <t>PROTEIN ENGINEERING</t>
  </si>
  <si>
    <t>alpha/beta-hydrolases; cold adaptation; hormone-sensitive lipase; p-nitrophenyl butyrate; site-directed mutagenesis</t>
  </si>
  <si>
    <t>LIPOPROTEIN-LIPASE; COLD ADAPTATION; ALTEROMONAS-HALOPLANCTIS; NUCLEOTIDE-SEQUENCE; ANTARCTIC BACTERIUM; CRYSTAL-STRUCTURE; MORAXELLA TA144; ALPHA-AMYLASE; GENE; PROTEINS</t>
  </si>
  <si>
    <t>Mammalian hormone-sensitive lipase (HSL) has given its name to a family of primarily prokaryotic proteins which are structurally related to type B carboxylesterases. In many of these alp hydrolases, a conserved HG-dipeptide hanks the catalytic pocket. In HSL this dipeptide is followed by two additional glycine residues. Through site-directed mutagenesis, we have investigated the importance of this moth for enzyme activity. Since the presence of multiple glycine residues in a critical region could contribute to cold adaptation by providing local flexibility, we studied the effect of mutating these residues on the psychrotolerant property of HSL. Any double mutation rendered the enzyme completely inactive, without any major effect on the enzyme stability, The partially active single mutants retained the same proportion of activity at reduced temperatures as the wild-type enzyme. These results do not support a role for the HGGG motif in catalysis at low temperatures, but provide further validation of the current three-dimensional model of HSL. Rat HSL was found to be relatively more active than human HSL at low temperatures, This difference was, however, not due to the 12 amino acids which are present in the regulatory module of the rat enzyme but absent in human HSL.</t>
  </si>
  <si>
    <t>Univ Lund, Dept Cell &amp; Mol Biol, Sect Mol Signalling, S-22100 Lund, Sweden; Hop Rangueil, Inst Louis Bugnard, INSERM, U317, F-31403 Toulouse, France</t>
  </si>
  <si>
    <t>Lund University; Institut National de la Sante et de la Recherche Medicale (Inserm); CHU de Toulouse; Universite de Toulouse; Universite Toulouse III - Paul Sabatier</t>
  </si>
  <si>
    <t>Holm, C (corresponding author), Univ Lund, Dept Cell &amp; Mol Biol, Sect Mol Signalling, POB 94, S-22100 Lund, Sweden.</t>
  </si>
  <si>
    <t>Laurell, Henrik/HIZ-6768-2022</t>
  </si>
  <si>
    <t>Laurell, Henrik/0000-0001-7328-935X; Langin, Dominique/0000-0002-2669-7825; Castan-Laurell, Isabelle/0000-0002-0488-9789</t>
  </si>
  <si>
    <t>0269-2139</t>
  </si>
  <si>
    <t>PROTEIN ENG</t>
  </si>
  <si>
    <t>Protein Eng.</t>
  </si>
  <si>
    <t>10.1093/protein/13.10.711</t>
  </si>
  <si>
    <t>Biochemistry &amp; Molecular Biology; Biotechnology &amp; Applied Microbiology</t>
  </si>
  <si>
    <t>385GM</t>
  </si>
  <si>
    <t>WOS:000165995500007</t>
  </si>
  <si>
    <t>Lawson, PA; Collins, MD; Schumann, P; Tindall, BJ; Hirsch, P; Labrenz, M</t>
  </si>
  <si>
    <t>New LL-diaminopimelic acid-containing actinomycetes from hypersaline, heliothermal and meromictic Antarctic Ekho Lake:: Nocardioides aquaticus sp. nov. and Friedmanniella lacustris sp. nov. (vol 23, pg 219, 2000)</t>
  </si>
  <si>
    <t>SYSTEMATIC AND APPLIED MICROBIOLOGY</t>
  </si>
  <si>
    <t>Schumann, Peter/AAL-1098-2020; Lawson, Paul A/E-3760-2012</t>
  </si>
  <si>
    <t>Schumann, Peter/0000-0002-2251-4091; Lawson, Paul A/0000-0002-0113-4751</t>
  </si>
  <si>
    <t>0723-2020</t>
  </si>
  <si>
    <t>SYST APPL MICROBIOL</t>
  </si>
  <si>
    <t>Syst. Appl. Microbiol.</t>
  </si>
  <si>
    <t>380MW</t>
  </si>
  <si>
    <t>WOS:000165706500022</t>
  </si>
  <si>
    <t>Platt, U</t>
  </si>
  <si>
    <t>Reactive halogen species in the mid-latitude troposphere - Recent discoveries</t>
  </si>
  <si>
    <t>WATER AIR AND SOIL POLLUTION</t>
  </si>
  <si>
    <t>bromine; chlorine; halogen species; spectroscopy; tropospheric chemistry</t>
  </si>
  <si>
    <t>MARINE BOUNDARY-LAYER; ZERO OZONE CONCENTRATIONS; METHYL-BROMIDE; POLAR SUNRISE; STRATOSPHERIC BRO; SPECTROSCOPIC MEASUREMENT; HETEROGENEOUS REACTION; HYDROGEN-CHLORIDE; ANTARCTIC OZONE; ICE SURFACES</t>
  </si>
  <si>
    <t>While the role of reactive halogen species (e.g., Cl, Br) in the destruction of the stratospheric ozone layer is well known, up to now it was assumed that these tropospheric halogen events were confined to the polar regions during springtime. However, during the last few years, significant amounts of BrO and Cl-atoms were also found in the Arctic and Antarctic boundary layer. Recently, even higher BrO mixing ratios (up to 90 ppt) were detected by optical absorption spectroscopy (DOAS) in the Dead Sea basin during summer. In addition, evidence is accumulating that BrO (at levels around 1-2 ppt) is also occurring in the free troposphere (in polar regions as well as at mid- latitudes). In contrast to the strategosphere, where halogens are released from species which are very long lived in the troposphere, likely sources of boundary layer Br and Cl are oxidation of sea-salt halides, while precursors of free tropospheric BrO probably are short-lived organo-halogen species. In addition, it is well possible that boundary layer halogens, in particular bromine, may 'leak out' to the free troposphere and thus could have a regional or even more widespread effect. At the levels suggested by the available measurements, reactive halogen species have a profound effect on tropospheric chemistry: In the boundary layer during 'halogen events' ozone is usually completely lost within hours or days - the 'Polar Tropospheric Ozone Hole'. In the free troposphere the effective O-3- losses due to halogens could be comparable to the known photochemical O-3 destruction. Further interesting consequences include the increase of OH levels and (at low NOX) the decrease of the HO2/OH ratio in the free troposphere.</t>
  </si>
  <si>
    <t>Univ Heidelberg, Inst Umweltphys, INF 229, D-69120 Heidelberg, Germany</t>
  </si>
  <si>
    <t>Ruprecht Karls University Heidelberg</t>
  </si>
  <si>
    <t>Platt, U (corresponding author), Univ Heidelberg, Inst Umweltphys, INF 229, D-69120 Heidelberg, Germany.</t>
  </si>
  <si>
    <t>0049-6979</t>
  </si>
  <si>
    <t>WATER AIR SOIL POLL</t>
  </si>
  <si>
    <t>Water Air Soil Pollut.</t>
  </si>
  <si>
    <t>10.1023/A:1005267321567</t>
  </si>
  <si>
    <t>Environmental Sciences; Meteorology &amp; Atmospheric Sciences; Water Resources</t>
  </si>
  <si>
    <t>Environmental Sciences &amp; Ecology; Meteorology &amp; Atmospheric Sciences; Water Resources</t>
  </si>
  <si>
    <t>364FH</t>
  </si>
  <si>
    <t>WOS:000089881000021</t>
  </si>
  <si>
    <t>Pugh, PJA; Convey, P</t>
  </si>
  <si>
    <t>Scotia Arc Acari: antiquity and origin</t>
  </si>
  <si>
    <t>ZOOLOGICAL JOURNAL OF THE LINNEAN SOCIETY</t>
  </si>
  <si>
    <t>Acari; colonization; island; sub-Antarctic; vicariance zoogeography</t>
  </si>
  <si>
    <t>ORIBATID MITES ACARI; TERRESTRIAL ARTHROPOD FAUNA; ANTARCTIC SOUTH GEORGIA; BEAUCHENE-ISLAND; WEST ANTARCTICA; LITTORAL MITES; PENINSULA; ATLANTIC; HISTORY; BIOGEOGRAPHY</t>
  </si>
  <si>
    <t>The Scotia Are comprises South Georgia, South Sandwich, South Orkney and South Shetland Islands together with the Antarctic Peninsula. Free-living Acari of the Scotia Arc contain immigrant and endemic elements. Transport of immigrant species to and within the Maritime Antarctic has been via Holocene storms and ocean currents. Most immigrants are Gamasida, Oribatida and Acaridida while Actinedida dominate the endemic element. Immigrant species on South Georgia share common 'sub-Antarctic' affinities with South Indian and, to a lesser extent, South Pacific Ocean island faunas. In contrast, immigrants to the rest of the Scotia Are and Bouvetoya on the mid-Atlantic Ridge, form a robust 'Maritime Antarctic' Province group. The endemic component is of largely Tertiary origin and, like that of Continental Antarctica, dominated by a few cosmopolitan families and genera of Actinedida. There are no bona fide pan-Antarctic species and little evidence that Continental and Maritime Antarctic faunas have a common ancestry, indeed the Continental endemic fauna is entirely montane while that of Maritime Antarctica is coastal. The presence of common Maritime Antarctic/South Pacific island genera corroborate die Antarctic Peninsula as being derived from a South Pacific island archipelago which collided with Continental Antarctica during the Tertiary period. (C) 2000 The Linnean Society of London.</t>
  </si>
  <si>
    <t>Anglia Polytech Univ, Dept Appl Biol, East Rd, Cambridge CB1 1PT, England.</t>
  </si>
  <si>
    <t>0024-4082</t>
  </si>
  <si>
    <t>1096-3642</t>
  </si>
  <si>
    <t>ZOOL J LINN SOC-LOND</t>
  </si>
  <si>
    <t>Zool. J. Linn. Soc.</t>
  </si>
  <si>
    <t>10.1006/zjls.1999.0219</t>
  </si>
  <si>
    <t>365QR</t>
  </si>
  <si>
    <t>WOS:000089962400005</t>
  </si>
  <si>
    <t>Lambeck, K; Yokoyama, Y; Johnston, P; Purcell, A</t>
  </si>
  <si>
    <t>Global ice volumes at the Last Glacial Maximum and early Lateglacial</t>
  </si>
  <si>
    <t>sea-level changes; last glacial maximum; glacial extent; eustacy; meltwater</t>
  </si>
  <si>
    <t>OXYGEN-ISOTOPE RECORDS; SEA-LEVEL RECORD; ISOSTATIC-ADJUSTMENT; MANTLE VISCOSITY; GREENLAND ICE; SHEET; DEGLACIATION; OCEAN; EUROPE; CORE</t>
  </si>
  <si>
    <t>Observations of sea levels during the Last Glacial Maximum (LGM) at localities far from the former ice margins constrain the global change in ice volume from the LGM to the present at about 52 x 10(6) km(3). Regional studies of sealevel change from observations near and within the margins of the former ice sheets constrain ice volumes of the individual ice sheets and have led to an imbalance between the global estimate of ice volume and the sum of the individual ice-sheet volumes. The latter estimates are reliable only when the observational record from localities close to the ice mass extends well into Lateglacial times, which is generally not the case for the major ice sheets. Ice volumes during the LGM and earliest part of the Lateglacial period can therefore be substantially increased without affecting the predictions of Lateglacial and Postglacial sea level in a significant manner, provided that a rapid reduction in ice volume occurred in early Lateglacial time. New far-field data for LGM and Lateglacial sea-level change indicates that a rapid rise in sea level of about 15 m occurred at about 16 500-16 000 C-14 (or 19 200-18 700 calibrated) years ago. This leads to the inference that during the LGM the ice sheet volumes of the major ice sheets were greater than inferred from regional rebound analyses and that rapid reductions in volume occurred at the termination of the LGM. The timing of this occurrence does not coincide with any recognised Heinrich event, although pulses of ice-rafted debris originating from both northern ice sheets do occur in some high latitude cores. An Antarctic contribution to the post-LGM melting event also cannot be ruled out, the timing coinciding with evidence for the onset of warming in southern latitudes and the addition of meltwater into the Southern Ocean. (C) 2000 Elsevier Science B.V. All rights reserved.</t>
  </si>
  <si>
    <t>Australian Natl Univ, Res Sch Earth Sci, Canberra, ACT 0200, Australia</t>
  </si>
  <si>
    <t>Australian National University</t>
  </si>
  <si>
    <t>Australian Natl Univ, Res Sch Earth Sci, Canberra, ACT 0200, Australia.</t>
  </si>
  <si>
    <t>kurt.lambeck@anu.edu.au</t>
  </si>
  <si>
    <t>Yokoyama, Yusuke/N-9623-2013; Johnston, Paul/C-2449-2013; Johnston, Paul/N-7117-2018</t>
  </si>
  <si>
    <t>Johnston, Paul/0000-0001-8605-0620; Purcell, Anthony/0000-0001-5289-3902</t>
  </si>
  <si>
    <t>SEP 30</t>
  </si>
  <si>
    <t>10.1016/S0012-821X(00)00223-5</t>
  </si>
  <si>
    <t>358GY</t>
  </si>
  <si>
    <t>WOS:000089551300004</t>
  </si>
  <si>
    <t>Bao, HM; Campbell, DA; Bockheim, JG; Thiemens, MH</t>
  </si>
  <si>
    <t>Origins of sulphate in Antarctic dry-valley soils as deduced from anomalous 17O compositions</t>
  </si>
  <si>
    <t>SULFATE; AEROSOL; SULFUR; ICE; AGE</t>
  </si>
  <si>
    <t>The dry valleys of Antarctica are some of the oldest terrestrial surfaces on the Earth. Despite much study of soil weathering and development, ecosystem dynamics and the occurrence of life in these extreme environments(1-3), the reasons behind the exceptionally high salt content of the dry-valley soils(4-6) have remained uncertain. In particular, the origins of sulphate are still controversial; proposed sources include wind-blown sea salt(5,7), chemical weathering(8), marine incursion(9), hydrothermal processes(10) and oxidation of biogenic sulphur in the atmosphere(1). Here we report measurements of delta(18)O and delta(17)O values of sulphates from a range of dry-valley soils. These sulphates all have a large positive anomaly(11) of O-17, of up to 3.4 parts per thousand. This suggests that Antarctic sulphate comes not just from sea salt (which has no anomaly of O-17) but also from the atmospheric oxidation of reduced gaseous sulphur compounds, the only known process that can generate the observed O-17 anomaly. This source is more prominent in high inland soils, suggesting that the distributions of sulphate are largely explained by differences in particle size and transport mode which exist between sea-salt aerosols and aerosols formed from biogenic sulphur emission.</t>
  </si>
  <si>
    <t>Univ Calif San Diego, Dept Chem &amp; Biochem, La Jolla, CA 92093 USA; Univ Wisconsin, Dept Soil Sci, Madison, WI 53706 USA</t>
  </si>
  <si>
    <t>University of California System; University of California San Diego; University of Wisconsin System; University of Wisconsin Madison</t>
  </si>
  <si>
    <t>Univ Calif San Diego, Dept Chem &amp; Biochem, Mail Code 0356,9500 Gilman Dr, La Jolla, CA 92093 USA.</t>
  </si>
  <si>
    <t>hbao@chem.ucsd.edu</t>
  </si>
  <si>
    <t>Bao, Huiming/C-1069-2012</t>
  </si>
  <si>
    <t>NATURE PUBLISHING GROUP</t>
  </si>
  <si>
    <t>MACMILLAN BUILDING, 4 CRINAN ST, LONDON N1 9XW, ENGLAND</t>
  </si>
  <si>
    <t>1476-4687</t>
  </si>
  <si>
    <t>SEP 28</t>
  </si>
  <si>
    <t>10.1038/35035054</t>
  </si>
  <si>
    <t>361MT</t>
  </si>
  <si>
    <t>WOS:000089727400046</t>
  </si>
  <si>
    <t>Michelsen, HA; Irion, FW; Manney, GL; Toon, GC; Gunson, MR</t>
  </si>
  <si>
    <t>Features and trends in Atmospheric Trace Molecule Spectroscopy (ATMOS) version 3 stratospheric water vapor and methane measurements</t>
  </si>
  <si>
    <t>TROPICAL LOWER STRATOSPHERE; TOTAL HYDROGEN BUDGET; UARS HALOE DATA; POLAR VORTEX; ATMOS/ATLAS-3 MEASUREMENTS; ANTARCTIC STRATOSPHERE; DEHYDRATION MECHANISM; FOUNTAIN HYPOTHESIS; SEASONAL-VARIATIONS; AGE SPECTRA</t>
  </si>
  <si>
    <t>Mixing ratios of water vapor entering the stratosphere are inferred from Atmospheric Trace Molecule Spectroscopy (ATMOS) measurements to be 3.28 ppm in 1985, 3.53 ppm in 1992, 3.67 ppm in 1993, and 3.65 ppm in 1994, yielding an average increase of 0.041 +/- 0.007 (1 sigma) ppm/yr or 1.2 +/- 0.2%/yr between 1985 and 1994. Strong evidence for a seasonal cycle in water vapor is apparent below 45 km in the tropics, and ascent rates derived from these tropical profiles are comparable to previous estimates. An enhancement in the sum [H2O] + 2[CH4] apparent between 45 and 60 km in the tropics appears to be consistent with remnants of a seasonal cycle in [H2O].</t>
  </si>
  <si>
    <t>Sandia Natl Labs, Combust Res Facil, Livermore, CA 94551 USA; CALTECH, Jet Prop Lab, Pasadena, CA 91109 USA</t>
  </si>
  <si>
    <t>United States Department of Energy (DOE); Sandia National Laboratories; National Aeronautics &amp; Space Administration (NASA); NASA Jet Propulsion Laboratory (JPL); California Institute of Technology</t>
  </si>
  <si>
    <t>Sandia Natl Labs, Combust Res Facil, MS 9055,POB 969, Livermore, CA 94551 USA.</t>
  </si>
  <si>
    <t>hamiche@ca.sandia.gov; fwi@caesar.jpl.nasa.gov; manney@mls.jpl.nasa.gov; toon@mark4sun.jpl.nasa.gov; mrg@caesar.jpl.nasa.gov</t>
  </si>
  <si>
    <t>Manney, Gloria/JED-7207-2023</t>
  </si>
  <si>
    <t>Michelsen, Hope/0000-0001-5802-6615</t>
  </si>
  <si>
    <t>SEP 27</t>
  </si>
  <si>
    <t>D18</t>
  </si>
  <si>
    <t>10.1029/2000JD900336</t>
  </si>
  <si>
    <t>359EF</t>
  </si>
  <si>
    <t>WOS:000089598000004</t>
  </si>
  <si>
    <t>Degünther, M; Meerkötter, R</t>
  </si>
  <si>
    <t>Influence of inhomogeneous surface albedo on UV irradiance:: Effect of a stratus cloud</t>
  </si>
  <si>
    <t>BIDIRECTIONAL REFLECTANCE; RADIATIVE-TRANSFER; ANTARCTIC SNOW; MODEL; ULTRAVIOLET; STATION</t>
  </si>
  <si>
    <t>The influence of inhomogeneous surface albedo on UV irradiance is investigated assuming the sky to be overcast by a horizontally homogeneous stratus cloud. From calculations with a three-dimensional (3-D) radiative transfer model the snow-induced relative UV irradiance enhancement as well as the 1-D albedo is derived for two different snow bidirectional reflectance distribution functions (Lambertian and anisotropic) and snow coverages varying between 0 and 100%. The 1-D albedo is a quantity defined to consider effects of inhomogeneous surface albedo even in 1-D radiative transfer codes. It turned out that anisotropy of snow reflectance is of minor importance for quantification of inhomogeneous surface albedo influence on UV irradiance. This holds for a cloudy as well as for a cloud-free atmosphere. Furthermore, the comparison of the new results with corresponding data obtained for cloudless sky indicates that a stratus cloud, on the one hand, enhances the surface albedo effect by about a factor 2-3, depending on wavelength. On the other hand, the area significantly influencing UV irradiance via its surface albedo is distinctly smaller. Looking, e.g., at wavelength 330 nm and clear sky, the maximum albedo effect of the surface surrounding a quadratic area of 6400 km(2) on UV irradiance at area center is 3%. In the case of a stratus cloud the same effect is found for an area of only 1500 km(2).</t>
  </si>
  <si>
    <t>Inst Atmospher Phys, Deutsch Zentrum Luft &amp; Raumfahrt, DLR, D-82234 Wessling, Germany</t>
  </si>
  <si>
    <t>Helmholtz Association; German Aerospace Centre (DLR)</t>
  </si>
  <si>
    <t>Inst Atmospher Phys, Deutsch Zentrum Luft &amp; Raumfahrt, DLR, D-82234 Wessling, Germany.</t>
  </si>
  <si>
    <t>markus.deguenther@dlr.de; ralf.meerkoetter@dlr.de</t>
  </si>
  <si>
    <t>10.1029/2000JD900344</t>
  </si>
  <si>
    <t>WOS:000089598000007</t>
  </si>
  <si>
    <t>Haynes, P; Shuckburgh, E</t>
  </si>
  <si>
    <t>Effective diffusivity as a diagnostic of atmospheric transport 1. Stratosphere</t>
  </si>
  <si>
    <t>TRACER TRANSPORT; POLAR VORTEX; WINTER STRATOSPHERE; SUMMER STRATOSPHERE; ANTARCTIC VORTEX; SURF ZONE; BREAKING; EDGE; PERMEABILITY; COORDINATE</t>
  </si>
  <si>
    <t>The transport and mixing properties of the isentropic flow in the lower and middle stratosphere are analyzed by using observed winds to advect a tracer on isentropic surfaces in the range 400-850 K. The effective diffusivity diagnostic introduced by Nakamura and collaborators is applied to the tracer field in order to identify barriers to transport and mixing regions, and to follow their seasonal evolution. Large effective diffusivity corresponds to strong mixing, and small effective diffusivity corresponds to weak mixing, i.e., to barriers. The effective diffusivity shows, in the winter stratosphere of each hemisphere, the evolution of the vortex-edge barrier and the midlatitude surf zone, and also the extent of any mixing within the vortex. At low latitudes in the stratosphere there is a region of low effective diffusivity whose latitudinal width Varies with height, broadening substantially from 400 K to 550 K. The low values of effective diffusivity in this tropical-reservoir region imply little isentropic transport into or out of it. There is a strong seasonal cycle to the reservoir, which has different forms at 400 K, 450-600 K, and above 650 K, determined by the relative influences of tropospheric synoptic eddies and stratospheric planetary waves; Comparison of effective diffusivity between the Northern Hemisphere winters 1996/1997 and 1997/1998 shows strong differences at low latitudes according to the phase of the quasi-biennial oscillation (QBO). When there are QBO easterlies, there is a broad region of very low effective diffusivity at low latitudes. When there are QBO westerlies, there are very low values of effective diffusivity at low latitudes within the westerlies themselves but larger values at their edges.</t>
  </si>
  <si>
    <t>Univ Cambridge, Dept Appl Math &amp; Theoret Phys, Ctr Atmospher Sci, Cambridge CB2 1TN, England</t>
  </si>
  <si>
    <t>University of Cambridge</t>
  </si>
  <si>
    <t>Univ Cambridge, Dept Appl Math &amp; Theoret Phys, Ctr Atmospher Sci, Cambridge CB2 1TN, England.</t>
  </si>
  <si>
    <t>P.H.Haynes@damtp.cam.ac.uk; E.F.Shuckburgh@damtp.cam.ac.uk</t>
  </si>
  <si>
    <t>Shuckburgh, Emily/0000-0001-9206-3444; Haynes, Peter/0000-0002-7726-6988</t>
  </si>
  <si>
    <t>10.1029/2000JD900093</t>
  </si>
  <si>
    <t>WOS:000089598000009</t>
  </si>
  <si>
    <t>Effective diffusivity as a diagnostic of atmospheric transport 2. Troposphere and lower stratosphere</t>
  </si>
  <si>
    <t>ANTARCTIC VORTEX; MASS-EXCHANGE; TROPOPAUSE; PERMEABILITY; MONSOON; WINTER; EDGE</t>
  </si>
  <si>
    <t>The effective diffusivity diagnostic is used to analyze the isentropic transport and mixing properties of observed winds in the upper troposphere and the lower stratosphere (300-450 K), following the approach described in part I [Haynes and Shuckburgh, this issue]. Local minima in effective diffusivity on isentropic surfaces in the range 330-400 K indicate transport barriers in each hemisphere associated with the extratropical tropopause. The strongest part of these tropopause barriers are coincident with the core of the subtropical jet at about 350 K. They are shown to have a seasonal evolution in which they are strongest in winter and considerably weakened by the monsoon circulations in summer. The barrier in the Southern. Hemisphere is seen to be generally stronger than that in Northern Hemisphere during the same season. The minimum value of effective diffusivity on each isentropic surface is proposed as a new definition of the tropopause. This effective-diffusivity definition corresponds most closely to potential vorticity (PV) values of +/-2 PVU at 330 K, +/-2.5 PVU at 350 K, and +/-4.5 PVU at 370 K (with larger values being more appropriate during the summer monsoon period), rather than to the conventional tropopause definition of a single PV value at all levels. It is also demonstrated that the lower limit of the barrier at the stratospheric polar-vortex edge, i.e., the sub-vortex transition, varies in altitude throughout the winter. In the Antarctic the transition generally occurs at 380 K and is sometimes as low as 350 K. In the Arctic the transition is higher, rarely occurring below 400 K and frequently occurring above 450 K.</t>
  </si>
  <si>
    <t>Haynes, Peter/0000-0002-7726-6988; Shuckburgh, Emily/0000-0001-9206-3444</t>
  </si>
  <si>
    <t>10.1029/2000JD900092</t>
  </si>
  <si>
    <t>WOS:000089598000010</t>
  </si>
  <si>
    <t>Kleffmann, J; Becker, KH; Bröske, R; Rothe, D; Wiesen, P</t>
  </si>
  <si>
    <t>Solubility of HBr in H2SO4/H2O and HNO3/H2SO4/H2O solutions</t>
  </si>
  <si>
    <t>SULFURIC-ACID-SOLUTIONS; STRATOSPHERIC TEMPERATURES; ANTARCTIC OZONE; BOUNDARY-LAYER; BROMINE; HCL; CHEMISTRY; PRESSURES; SYSTEM; MODEL</t>
  </si>
  <si>
    <t>The solubility of HBr in H2SO4/H2O and HNO3/H2SO4/H2O solutions was determined by measuring the HBr vapor pressure over stirred bulk solutions using tunable diode laser spectrometry. The experimental results for the solubility of HBr in sulfuric acid solutions show good agreement with experimental literature data. However, there is a factor 2-6 discrepancy between experimental and model values. The solubility of HBr in sulfuric acid was parameterized as a function of the H2SO4 concentration and temperature in the range 53-75 wt % H2SO4 and 195-250 K, respectively. The solubility of HBr in ternary HNO3/H2SO4/H2O solutions was determined for the first time. An increase in the solubility was observed on exchanging H2SO4 by HNO3 at constant water weight fraction. This observation is in qualitative agreement with model calculations, however, the observed solubility change was much larger than predicted by the model calculations. The solubility of HBr in ternary solutions was parameterized as a function of both the concentration of HNO3/H2SO4 and the temperature. The relations derived can be used for atmospheric modeling of the influence of heterogeneous HBr reactions on atmospheric ozone destruction.</t>
  </si>
  <si>
    <t>Berg Univ Gesamthsch Wuppertal, Fachbereich 9, D-42097 Wuppertal, Germany</t>
  </si>
  <si>
    <t>University of Wuppertal</t>
  </si>
  <si>
    <t>Kleffmann, J (corresponding author), Berg Univ Gesamthsch Wuppertal, Fachbereich 9, D-42097 Wuppertal, Germany.</t>
  </si>
  <si>
    <t>SEP 21</t>
  </si>
  <si>
    <t>10.1021/jp000815u</t>
  </si>
  <si>
    <t>355JW</t>
  </si>
  <si>
    <t>WOS:000089383400006</t>
  </si>
  <si>
    <t>Weatherhead, EC; Reinsel, GC; Tiao, GC; Jackman, CH; Bishop, L; Frith, SMH; DeLuisi, J; Keller, T; Oltmans, SJ; Fleming, EL; Wuebbles, DJ; Kerr, JB; Miller, AJ; Herman, J; McPeters, R; Nagatani, RM; Frederick, JE</t>
  </si>
  <si>
    <t>Detecting the recovery of total column ozone</t>
  </si>
  <si>
    <t>STRATOSPHERIC OZONE; ANTARCTIC OZONE; TRENDS; TEMPERATURE; NIMBUS-7; LATITUDE; UMKEHR; HOLE</t>
  </si>
  <si>
    <t>International agreements for the limitation of ozone-depleting substances have already resulted in decreases in concentrations of some of these chemicals in the troposphere. Full compliance and understanding of all factors contributing to ozone depletion are still uncertain; however, reasonable expectations are for a gradual recovery of the ozone layer over the next 50 years. Because of the complexity of the processes involved in ozone depletion, it is crucial to detect not just a decrease in ozone-depleting substances but also a recovery in the ozone layer. The recovery is likely to be detected in some areas sooner than others because of natural variability in ozone concentrations. On the basis of both the magnitude and autocorrelation of the noise from Nimbus 7 Total Ozone Mapping Spectrometer ozone measurements, estimates of the time required to detect a fixed trend in ozone at various locations around the world are presented. Predictions from the Goddard Space Flight Center (GSFC) two-dimensional chemical model are used to estimate the time required to detect predicted trends in different areas of the world. The analysis is based on our current understanding of ozone chemistry, full compliance with the Montreal Protocol and its amendments, and no intervening factors, such as major volcanic eruptions or enhanced stratospheric cooling. The results indicate that recovery of total column ozone is likely to be detected earliest in the Southern Hemisphere near New Zealand, southern Africa, and southern South America and that the range of time expected to detect recovery for most regions of the world is between 15 and 45 years. Should the recovery be slower than predicted by the GSFC model, owing, for instance, to the effect of greenhouse gas emissions, or should measurement sites be perturbed, even longer times would be needed for detection.</t>
  </si>
  <si>
    <t>Univ Colorado, Cooperat Inst Res Environm Sci, Boulder, CO 80309 USA; Univ Wisconsin, Dept Stat, Madison, WI 53706 USA; Univ Chicago, Grad Sch Business, Chicago, IL 60637 USA; NASA, Goddard Space Flight Ctr, Greenbelt, MD USA; Allied Signal Corp, Buffalo, NY 14210 USA; Steven Myers &amp; Assoc Corp, Arlington, VA 22201 USA; NOAA, Air Resources Lab, Boulder, CO 80303 USA; Natl Ctr Atmospher Res, Boulder, CO 80307 USA; NOAA, Climate Monitoring &amp; Diagnost Lab, Boulder, CO 80303 USA; Univ Illinois, Dept Atmospher Sci, Champaign, IL 61801 USA; Atmospher Environm Serv, Downsview, ON M3H 5T4, Canada; Natl Weather Serv, Washington, DC 20233 USA; Univ Chicago, Dept Geophys Sci, Chicago, IL 60637 USA</t>
  </si>
  <si>
    <t>University of Colorado System; University of Colorado Boulder; University of Wisconsin System; University of Wisconsin Madison; University of Chicago; National Aeronautics &amp; Space Administration (NASA); NASA Goddard Space Flight Center; National Oceanic Atmospheric Admin (NOAA) - USA; National Center Atmospheric Research (NCAR) - USA; National Oceanic Atmospheric Admin (NOAA) - USA; University of Illinois System; University of Illinois Urbana-Champaign; Environment &amp; Climate Change Canada; Meteorological Service of Canada; National Oceanic Atmospheric Admin (NOAA) - USA; University of Chicago</t>
  </si>
  <si>
    <t>Univ Colorado, Cooperat Inst Res Environm Sci, Boulder, CO 80309 USA.</t>
  </si>
  <si>
    <t>Frith, Stacey/HMD-9437-2023; McPeters, Richard/G-4955-2013; Oltmans, Samuel/AAC-8987-2022; Jackman, Charles H/D-4699-2012; Weatherhead, Elizabeth/I-7091-2015</t>
  </si>
  <si>
    <t>Frith, Stacey/0000-0001-6894-0574; Weatherhead, Elizabeth/0000-0002-9252-4228; Herman, Jay/0000-0002-9146-1632</t>
  </si>
  <si>
    <t>SEP 16</t>
  </si>
  <si>
    <t>D17</t>
  </si>
  <si>
    <t>10.1029/2000JD900063</t>
  </si>
  <si>
    <t>356XH</t>
  </si>
  <si>
    <t>Green Published, Green Submitted, Bronze</t>
  </si>
  <si>
    <t>WOS:000089469100006</t>
  </si>
  <si>
    <t>Piotrowski, AM; Lee, DC; Christensen, JN; Burton, KW; Halliday, AN; Hein, JR; Günther, D</t>
  </si>
  <si>
    <t>Changes in erosion and ocean circulation recorded in the Hf isotopic compositions of North Atlantic and Indian Ocean ferromanganese crusts</t>
  </si>
  <si>
    <t>paleo-oceanography; Hf-177/Hf-176; stable isotopes; erosion; ferromanganese composition</t>
  </si>
  <si>
    <t>SEDIMENTARY SYSTEM; MANGANESE NODULES; ND ISOTOPES; PB ISOTOPES; LU-HF; PACIFIC; SEAWATER; DEPOSITS; MANTLE; DEEP</t>
  </si>
  <si>
    <t>High-resolution Hf isotopic records are presented for hydrogenetic Fe-Mn crusts from the North Atlantic and Indian Oceans. BM1969 from the western North Atlantic has previously been shown to record systematically decreasing Nd isotopic compositions from about 60 to similar to 4 Ma, at which time both show a rapid decrease to unradiogenic Nd composition, thought to be related to the increasing influence of NADW or glaciation in the northern hemisphere. During the Oligocene, North Atlantic I-If became progressively less radiogenic until in the mid-Miocene (similar to 15 Ma) it reached +1. It then shifted gradually back to an epsilon(Hf) value of +3 at 4 Ma, since when it has decreased rapidly to about -1 at the present day. The observed shifts in the Hf isotopic composition were probably caused by variation in intensity of erosion as glaciation progressed in the northern hemisphere. Ferromanganese crusts SS663 and 109D are from about 5500 m depth in the Indian Ocean and are now separated by similar to 2300 km across the Mid-Indian Ridge. They display similar trends in Hf isotopic composition from 20 to 5 Ma, with the more northern crust having a composition that is consistently more radiogenic (by similar to 2 epsilon(Hf) units). Paradoxically, during the last 20 Ma the Hf isotopic compositions of the two crusts have converged despite increased separation and subsidence relative to the ridge. A correlatable negative excursion at similar to 5 Ma in the two records may reflect a short-term increase in erosion caused by the activation of the Himalayan main central thrust. Changes to unradiogenic Hf in the central Indian Ocean after 5 Ma may alternatively have been caused by the expanding influence of NADW into the Mid-Indian Basin via circum-Antarctic deep water or a reduction of Pacific flow through the Indonesian gateway. In either case, these results illustrate the utility of the Hf isotope system as a tracer of paleoceanographic changes, capable of responding to subtle changes in erosional regime not readily resolved using other isotope systems. (C) 2000 Elsevier Science B.V. All rights reserved.</t>
  </si>
  <si>
    <t>Univ Michigan, Dept Geol Sci, Ann Arbor, MI 48109 USA; US Geol Survey, Menlo Park, CA 94025 USA; ETH Zurich, Anorgan Chem Lab, Inst Analyt Chem &amp; Spurenanalyt, CH-8092 Zurich, Switzerland</t>
  </si>
  <si>
    <t>University of Michigan System; University of Michigan; United States Department of the Interior; United States Geological Survey; Swiss Federal Institutes of Technology Domain; ETH Zurich</t>
  </si>
  <si>
    <t>Piotrowski, AM (corresponding author), Columbia Univ, Dept Earth &amp; Environm Sci, Palisades, NY 10964 USA.</t>
  </si>
  <si>
    <t>Christensen, John N/D-1475-2015; Hein, James/R-7123-2019; Lee, Der-Chuen/N-9225-2013</t>
  </si>
  <si>
    <t>Burton, Kevin/0000-0002-3381-7004; Lee, Der-Chuen/0000-0001-8855-9594</t>
  </si>
  <si>
    <t>SEP 15</t>
  </si>
  <si>
    <t>10.1016/S0012-821X(00)00205-3</t>
  </si>
  <si>
    <t>355PN</t>
  </si>
  <si>
    <t>WOS:000089394200005</t>
  </si>
  <si>
    <t>Brachfeld, S; Acton, GD; Guyodo, Y; Banerjee, SK</t>
  </si>
  <si>
    <t>High-resolution paleomagnetic records from Holocene sediments from the Palmer Deep, Western Antartic Peninsula</t>
  </si>
  <si>
    <t>magnetic susceptibility; magnetic minerals; paleoclimatology; Antartic Peninsula</t>
  </si>
  <si>
    <t>SEA; PALEOINTENSITY; STRATIGRAPHY; INTENSITY; FIELD</t>
  </si>
  <si>
    <t>Thick Holocene sedimentary sections (&gt; 45 m) cored in the Palmer Deep by the United States Antarctic Program (USAP) and during Ocean Drilling Program (ODP) Leg 178 provide the first opportunity to examine past geomagnetic field behavior at high southern latitudes. After removal of a low-coercivity drilling overprint the sediments display a stable, single-component remanent magnetization. Two short cores that recovered the uppermost 2.6 m of sediment have inclinations that fluctuate about the present day inclination (-57 degrees) measured at Faraday Station, and several features with wavelengths of 10 to 20 cm appear to be correlative. However, shipboard measurements of inclination fluctuations on split-core samples from three holes drilled at ODP Site 1098 do not correlate well with each other, even though the intensity and susceptibility data correlate very well and the overall mean inclination for cores from each hole is consistent with the expected geocentric axial dipole (GAD) inclination. The correlation is improved dramatically by using inclinations measured on u-channels taken from the pristine center of a split core, Consequently, the anomalous directions and the resulting poor between-hole correlation of inclinations obtained from shipboard data can be attributed to coring-induced deformation, which is common on the outer edge of ODP piston cores, and/or measurement artifacts in the split-core data. Our preferred inclination record is thus derived from u-channel results. The upper similar to 25 m represents continuous sedimentation over the past 9000 yr, with an average sedimentation rate exceeding 250 cm/kyr (0.25 cm/yr). Given that remanence measurements on u-channels average over an interval &lt;7 cm long, we obtained independent measurements of the paleo-geomagnetic field that average over only similar to 30 yr. This high-resolution record is characterized by an inclination that fluctuates within +/-15 degrees of the current GAD inclination. (C) 2000 Elsevier Science B.V. All rights reserved.</t>
  </si>
  <si>
    <t>Univ Minnesota, Inst Rock Magnetism, Minneapolis, MN USA; Univ Minnesota, Dept Geol &amp; Geophys, Minneapolis, MN USA; Texas A&amp;M Univ, Ocean Drilling Program, College Stn, TX USA; Univ Florida, Dept Geol Sci, Gainesville, FL USA</t>
  </si>
  <si>
    <t>University of Minnesota System; University of Minnesota Twin Cities; University of Minnesota System; University of Minnesota Twin Cities; Texas A&amp;M University System; Texas A&amp;M University College Station; State University System of Florida; University of Florida</t>
  </si>
  <si>
    <t>Brachfeld, S (corresponding author), 108 Pillsbury Hall,310 Pillsbury Dr, Minneapolis, MN 55455 USA.</t>
  </si>
  <si>
    <t>guyodo, yohan/R-5079-2018; Acton, Gary D/B-6108-2016; Guyodo, Yohan/G-8282-2011</t>
  </si>
  <si>
    <t>guyodo, yohan/0000-0003-0485-5949; Acton, Gary/0000-0002-3285-4022; Brachfeld, Stefanie/0000-0003-4612-2866</t>
  </si>
  <si>
    <t>10.1016/S0012-821X(00)00211-9</t>
  </si>
  <si>
    <t>WOS:000089394200012</t>
  </si>
  <si>
    <t>Gibson, E</t>
  </si>
  <si>
    <t>The race to the white continent: Voyages to the Antarctic.</t>
  </si>
  <si>
    <t>LIBRARY JOURNAL</t>
  </si>
  <si>
    <t>Lincoln Univ Lib, Lincoln, PA 15037 USA</t>
  </si>
  <si>
    <t>Pennsylvania Commonwealth System of Higher Education (PCSHE); Lincoln University - Pennsylvania</t>
  </si>
  <si>
    <t>Gibson, E (corresponding author), Lincoln Univ Lib, Lincoln, PA 15037 USA.</t>
  </si>
  <si>
    <t>BOWKER MAGAZINE GROUP CAHNERS MAGAZINE DIVISION</t>
  </si>
  <si>
    <t>249 W 17TH ST, NEW YORK, NY 10011 USA</t>
  </si>
  <si>
    <t>0363-0277</t>
  </si>
  <si>
    <t>LIBR J</t>
  </si>
  <si>
    <t>Libr. J.</t>
  </si>
  <si>
    <t>Information Science &amp; Library Science</t>
  </si>
  <si>
    <t>353QR</t>
  </si>
  <si>
    <t>WOS:000089287400148</t>
  </si>
  <si>
    <t>Li, BH; Yoon, HI; Park, BK</t>
  </si>
  <si>
    <t>Foraminiferal assemblages and CaCO3 dissolution since the last deglaciation in the Maxwell Bay, King George Island, Antarctica</t>
  </si>
  <si>
    <t>foraminifera; paleo-environment; carbonate dissolution; late quaternary; Antarctica</t>
  </si>
  <si>
    <t>SOUTH-SHETLAND-ISLANDS; WEST ANTARCTICA; WEDDELL SEA; MARIAN COVE; SEDIMENTATION; PENINSULA</t>
  </si>
  <si>
    <t>Three sediment cores (A10-01, -02 and -08) from the Maxwell Bay, King George Island, Antarctica were quantitatively analyzed for foraminiferal fauna. Planktonic foraminifera of three cores are rare due to the special Antarctica environment. Benthic foraminifera is mainly composed of Globocassidulina biora, Globocassidulina crassa rossensis, Cassidulinoides parkerianus and Miliammina arenacea. G. biora and G. crassa rossensis show high percentages in the shallower Core A10-08 while M. arenacea displays obviously high percentage in deeper Core A10-02. The lower parts of the cores have a lower abundance of Foraminifera, while the upper parts have a relatively higher abundance. The down-core variations of benthic foraminifera reflect the contrast of surface water environment between the last deglaciation and post glacial. During the last deglaciation (lower parts of the cores), the lower abundant foraminifera was consistent with the lower TOC, which reflected that the extensive sea ice prevented the production of primary organisms, and, therefore, lower flux of organic particles was delivered to the sea floor. Abundant foraminifera together with higher TOC in the upper parts of the cores suggested a higher primary productivity after the glaciation. The shallowest-water-depth Core A10-08 (45 m), displayed a better carbonate preservation than the other two cores (A10-01 and -02) from the depths of 85 and 105 m, respectively. The disparity in carbonate dissolution reflected the remarkable shallow lysocline and carbonate compensation depth (CCD) in the Antarctic area, and also reflected significant variations in water properties even within such a difference only about 60 m in water depth. Down-core variations of benthic foraminifera dissolution index (BDI) and CaCO3 content indicated the existence of stronger carbonate dissolution in the upper parts than those in the lower parts of the cores. The down-core variations of carbonate dissolution suggested changes of water properties linked to the shallow CCD in this area. It was supposed that the less influence of the Saline Shelf Water during the last deglaciation enhanced the carbonate preservation. With the sea-level increasing and retreat of the coastal ice after the glacial, erosive water masses and the higher CO2 accumulated by the increased flux of organic material led to severe dissolution of CaCO3 and foraminiferal shells in the sediment. (C) 2000 Elsevier Science B.V. All rights reserved.</t>
  </si>
  <si>
    <t>Acad Sinica, Nanjing Inst Geol &amp; Paleontol, Nanjing 210008, Peoples R China; Korea Ocean Res &amp; Dev Inst, Polar Res Ctr, Seoul 425600, South Korea</t>
  </si>
  <si>
    <t>Chinese Academy of Sciences; Nanjing Institute of Geology &amp; Paleontology, CAS; Korea Institute of Ocean Science &amp; Technology (KIOST)</t>
  </si>
  <si>
    <t>Li, BH (corresponding author), Acad Sinica, Nanjing Inst Geol &amp; Paleontol, 39 E Beijing Rd, Nanjing 210008, Peoples R China.</t>
  </si>
  <si>
    <t>10.1016/S0025-3227(00)00059-1</t>
  </si>
  <si>
    <t>358EL</t>
  </si>
  <si>
    <t>WOS:000089544200011</t>
  </si>
  <si>
    <t>Alvarez-Muñiz, J; Vazquez, RA; Zas, E</t>
  </si>
  <si>
    <t>Calculation methods for radio pulses from high energy showers -: art. no. 063001</t>
  </si>
  <si>
    <t>PHYSICAL REVIEW D</t>
  </si>
  <si>
    <t>COSMIC-RAYS; TOPOLOGICAL DEFECTS; NEUTRINO DETECTION; ANTARCTIC ICE</t>
  </si>
  <si>
    <t>We present an approximation for the numerical calculation of Cerenkov radio pulses in the Fraunhofer limit from very high energy showers in dense media. We compare it to full Monte Carlo simulations in ice, studying its range of applicability, and show how it can be extended with a simple algorithm. The approximation reproduces well the angular distribution of the pulse around the Cerenkov direction. An improved parametrization for the frequency spectrum in the Cerenkov direction is given for phenomenological applications. We extend the method to study the pulses produced by showers at distances at which the Fraunhofer limit does not apply, and give the ranges of distances and frequencies in which Fraunhofer approximation is good enough for interpreting future experimental data. Our results are relevant for the detection of very high energy neutrinos with this technique.</t>
  </si>
  <si>
    <t>Univ Wisconsin, Dept Phys, Madison, WI 53706 USA; Univ Santiago, Dept Fis Particulas, E-15706 Santiago De Compostela, Spain</t>
  </si>
  <si>
    <t>University of Wisconsin System; University of Wisconsin Madison; Universidade de Santiago de Compostela</t>
  </si>
  <si>
    <t>Alvarez-Muñiz, J (corresponding author), Univ Wisconsin, Dept Phys, 1150 Univ Ave, Madison, WI 53706 USA.</t>
  </si>
  <si>
    <t>Vazquez, Jose Ramon J. R./K-2272-2015; Alvarez-Muniz, Jaime/H-1857-2015; Zas, Enrique/I-5556-2015</t>
  </si>
  <si>
    <t>Alvarez-Muniz, Jaime/0000-0002-2367-0803; Vazquez Lopez, Ricardo/0000-0003-4025-5262; Zas, Enrique/0000-0002-4430-8117</t>
  </si>
  <si>
    <t>0556-2821</t>
  </si>
  <si>
    <t>PHYS REV D</t>
  </si>
  <si>
    <t>Phys. Rev. D</t>
  </si>
  <si>
    <t>10.1103/PhysRevD.62.063001</t>
  </si>
  <si>
    <t>Astronomy &amp; Astrophysics; Physics, Particles &amp; Fields</t>
  </si>
  <si>
    <t>354CB</t>
  </si>
  <si>
    <t>WOS:000089311300004</t>
  </si>
  <si>
    <t>Shackleton, NJ</t>
  </si>
  <si>
    <t>The 100,000-year ice-age cycle identified and found to lag temperature, carbon dioxide, and orbital eccentricity</t>
  </si>
  <si>
    <t>SCIENCE</t>
  </si>
  <si>
    <t>HUON PENINSULA; SEA-LEVEL; CORE; FRAMEWORK; HISTORY; CLIMATE</t>
  </si>
  <si>
    <t>The deep-sea sediment oxygen isotopic composition (delta(18)O) record is dominated by a 100,000-year cyclicity that is universally interpreted as the main ice-age rhythm, Here, the ice volume component of this delta(18)O signal was extracted by using the record of delta(18)O in atmospheric oxygen trapped in Antarctic ice at Vostok, precisely orbitally tuned. The benthic marine delta(18)O record is heavily contaminated by the effect of deep-water temperature variability, but by using the Vostok record, the delta(18)O signals of ice volume, deep-water temperature, and additional processes affecting air delta(18)O (that is, a varying Dole effect) were separated. At the 100,000-year period, atmospheric carbon dioxide, Vostok air temperature, and deep-water temperature are in phase with orbital eccentricity, whereas ice volume Lags these three variables. Hence, the 100,000-year cycle does not arise from ice sheet dymamics; instead, it is probably the response of the global carbon cycle that gene rates the eccentricity signal by causing changes in atmospheric carbon dioxide concentration.</t>
  </si>
  <si>
    <t>Univ Cambridge, Dept Earth Sci, Godwin Lab, Cambridge CB2 3SA, England</t>
  </si>
  <si>
    <t>AMER ASSOC ADVANCEMENT SCIENCE</t>
  </si>
  <si>
    <t>1200 NEW YORK AVE, NW, WASHINGTON, DC 20005 USA</t>
  </si>
  <si>
    <t>0036-8075</t>
  </si>
  <si>
    <t>Science</t>
  </si>
  <si>
    <t>10.1126/science.289.5486.1897</t>
  </si>
  <si>
    <t>354XD</t>
  </si>
  <si>
    <t>WOS:000089355800035</t>
  </si>
  <si>
    <t>Majumdar, TJ; Mohanty, KK</t>
  </si>
  <si>
    <t>Detection of areal snow cover changes over Antarctica using SSM/I passive microwave data</t>
  </si>
  <si>
    <t>CURRENT SCIENCE</t>
  </si>
  <si>
    <t>SSM/I (Special Sensor Microwave Imager) passive microwave data of two different months over the Antarctic subcontinent have been used to (i) detect the areal extent of snow cover, and (ii) to monitor the changes in the snow cover in this region. Minimum accumulation of snow over Antarctica occurs in February, and hence the detection of snow cover during January and February should indicate a depletion phase. An overall 14% decrease of snow has been observed during this period. Corresponding data for accumulation/depletion of snow indicates a matching of general trend. SSM/I data, thus, can be used as a very promising tool for monitoring of snow over the Antarctic region since it is not affected by cloud cover/darkness.</t>
  </si>
  <si>
    <t>ISRO, Ctr Space Applicat, Remote Sensing Applicat Area, Marine &amp; Water Resources Div, Ahmedabad 380015, Gujarat, India</t>
  </si>
  <si>
    <t>Department of Space (DoS), Government of India; Indian Space Research Organisation (ISRO); Space Applications Centre (SAC)</t>
  </si>
  <si>
    <t>Majumdar, TJ (corresponding author), ISRO, Ctr Space Applicat, Remote Sensing Applicat Area, Marine &amp; Water Resources Div, Ahmedabad 380015, Gujarat, India.</t>
  </si>
  <si>
    <t>MOHANTY, KESHAR KUNJA/AAN-4814-2021</t>
  </si>
  <si>
    <t>MOHANTY, KESHAR KUNJA/0000-0001-7527-4864</t>
  </si>
  <si>
    <t>CURRENT SCIENCE ASSN</t>
  </si>
  <si>
    <t>BANGALORE</t>
  </si>
  <si>
    <t>C V RAMAN AVENUE, PO BOX 8005, BANGALORE 560 080, INDIA</t>
  </si>
  <si>
    <t>0011-3891</t>
  </si>
  <si>
    <t>CURR SCI INDIA</t>
  </si>
  <si>
    <t>Curr. Sci.</t>
  </si>
  <si>
    <t>SEP 10</t>
  </si>
  <si>
    <t>354ZN</t>
  </si>
  <si>
    <t>WOS:000089361300023</t>
  </si>
  <si>
    <t>Lea, DW; Pak, DK; Spero, HJ</t>
  </si>
  <si>
    <t>Climate impact of late quaternary equatorial Pacific sea surface temperature variations</t>
  </si>
  <si>
    <t>LAST GLACIAL MAXIMUM; OXYGEN ISOTOPIC COMPOSITION; PLANKTONIC-FORAMINIFERA; TROPICAL PACIFIC; ICE CORE; RECORD; MAGNESIUM; OCEAN; RECONSTRUCTIONS; DEGLACIATION</t>
  </si>
  <si>
    <t>Magnesium/calcium data from planktonic foraminifera in equatorial Pacific sediment cores demonstrate that tropical Pacific sea surface temperatures (SSTs) were 2.8 degrees +/- 0.7 degrees C colder than the present at the Last glacial maximum. Glacial-interglacial temperature differences as great as 5 degrees C are observed over the Last 450 thousand years. Changes in SST coincide with changes in Antarctic air temperature and precede changes in continental ice volume by about 3 thousand years, suggesting that tropical cooling played a major role in driving ice-age climate. Comparison of SST estimates from eastern and western sites indicates that the equatorial Pacific zonal SST gradient was similar or somewhat Larger during glacial episodes. Extraction of a salinity proxy from the magnesium/calcium and oxygen isotope data indicates that transport of water vapor into the western Pacific was enhanced during glacial episodes.</t>
  </si>
  <si>
    <t>Univ Calif Santa Barbara, Dept Geol Sci, Santa Barbara, CA 93106 USA; Univ Calif Santa Barbara, Inst Marine Sci, Santa Barbara, CA 93106 USA; Univ Calif Davis, Dept Geol, Davis, CA 95616 USA</t>
  </si>
  <si>
    <t>University of California System; University of California Santa Barbara; University of California System; University of California Santa Barbara; University of California System; University of California Davis</t>
  </si>
  <si>
    <t>Lea, DW (corresponding author), Univ Calif Santa Barbara, Dept Geol Sci, Santa Barbara, CA 93106 USA.</t>
  </si>
  <si>
    <t>SEP 8</t>
  </si>
  <si>
    <t>10.1126/science.289.5485.1719</t>
  </si>
  <si>
    <t>352BT</t>
  </si>
  <si>
    <t>WOS:000089195200038</t>
  </si>
  <si>
    <t>Wilks, N</t>
  </si>
  <si>
    <t>Engineers' Antarctic role</t>
  </si>
  <si>
    <t>PROFESSIONAL ENGINEERING</t>
  </si>
  <si>
    <t>CASPIAN MEDIA</t>
  </si>
  <si>
    <t>198 KINGS RD, LONDON, SW3 5XP, ENGLAND</t>
  </si>
  <si>
    <t>0953-6639</t>
  </si>
  <si>
    <t>PROF ENG</t>
  </si>
  <si>
    <t>Prof. Eng.</t>
  </si>
  <si>
    <t>SEP 6</t>
  </si>
  <si>
    <t>Engineering, Mechanical</t>
  </si>
  <si>
    <t>Engineering</t>
  </si>
  <si>
    <t>356UX</t>
  </si>
  <si>
    <t>WOS:000089462200049</t>
  </si>
  <si>
    <t>Avila, C; Iken, K; Fontana, A; Cimino, G</t>
  </si>
  <si>
    <t>Chemical ecology of the Antarctic nudibranch Bathydoris hodgsoni Eliot, 1907:: defensive role and origin of its natural products</t>
  </si>
  <si>
    <t>Antarctica; chemical ecology; defense; feeding deterrence; nudibranch molluscs</t>
  </si>
  <si>
    <t>SPONGE DENDRILLA-MEMBRANOSA; MARINE-INVERTEBRATES; ENERGY CONTENT; SOFT CORALS; DENDRODORIS NUDIBRANCHS; BIOCHEMICAL-COMPOSITION; ANTIPREDATOR DEFENSES; POPULATION BIOLOGY; TRITONIELLA-BELLI; PERKNASTER-FUSCUS</t>
  </si>
  <si>
    <t>A variety of Antarctic marine invertebrates contains secondary metabolites that may provide defense against potential predators. However, only in a few cases have tissues, extracts or isolated compounds of these invertebrates been rested against sympatric predators. The Antarctic nudibranch Bathydoris hodgsoni Eliot, 1907 contains hodgsonal, a compound only present in the external body (mantle tissues), which may protect the slugs from predators. To test this defensive hypothesis for hodgsonal, we carried out a series of experiments using the sympatric omnivorous seastar Odontaster validus Koehler, 1906 as a potential predator. Our experiments revealed that natural concentrations of hodgsonal elicit significant feeding deterrent responses in O. validus. Furthermore, hodgsonal is probably biosynthesized de novo by the nudibranch, since it was not detected in the viscera las it should he in the case of a dietary compound), its concentration in the mantle (0.05-0.15% dry mass) is quire constant in individuals from different localities and depths, and its sequestration from a particular dietary source is unlikely because B. hodgsoni is an omnivorous feeder. (C) 2000 Elsevier Science B.V. All rights reserved.</t>
  </si>
  <si>
    <t>CSIC, Ctr Estudis Avancats Blanes, Blanes 17300, Girona, Spain; Alfred Wegener Inst Polar &amp; Marine Res, D-27568 Bremerhaven, Germany; CNR, Ist Chim Mol Interesse Biol, I-80072 Arco Felice Napoli, Italy</t>
  </si>
  <si>
    <t>Consejo Superior de Investigaciones Cientificas (CSIC); CSIC - Centre d'Estudis Avancats de Blanes (CEAB); Helmholtz Association; Alfred Wegener Institute, Helmholtz Centre for Polar &amp; Marine Research; Consiglio Nazionale delle Ricerche (CNR)</t>
  </si>
  <si>
    <t>CSIC, Ctr Estudis Avancats Blanes, Cami Sta Barbara S-N, Blanes 17300, Girona, Spain.</t>
  </si>
  <si>
    <t>conxita@ceab.csic.es</t>
  </si>
  <si>
    <t>Fontana, Angelo/C-3354-2012; Avila, Conxita/B-9466-2008; Fontana, Angelo/AAO-2741-2021</t>
  </si>
  <si>
    <t>Avila, Conxita/0000-0002-5489-8376; Fontana, Angelo/0000-0002-5453-461X</t>
  </si>
  <si>
    <t>1879-1697</t>
  </si>
  <si>
    <t>SEP 5</t>
  </si>
  <si>
    <t>10.1016/S0022-0981(00)00227-6</t>
  </si>
  <si>
    <t>353QZ</t>
  </si>
  <si>
    <t>WOS:000089288100003</t>
  </si>
  <si>
    <t>Ansell, AD; Peck, LS</t>
  </si>
  <si>
    <t>Burrowing in the antarctic anemone, Halcampoides sp., from Signy Island, Antarctica</t>
  </si>
  <si>
    <t>antarctic; anemone; Halcampoides; disturbance; burrowing; peristalsis; adaptation</t>
  </si>
  <si>
    <t>BRACHIOPOD LIOTHYRELLA UVA; METABOLIC-RATE; TEMPERATURE; FISH; GROWTH</t>
  </si>
  <si>
    <t>Antarctic anemones of the genus Halcampoides inhabit low intertidal and shallow subtidal zones. They readily burrow into soft sediments following disturbance. The process of re-burying was recorded using time-lapse video in the aquarium of the British Antarctic Survey with specimens of a species collected from the shallow sublittoral (&lt;1 m depth) at Signy Island. Penetration of the sediment takes place by a similar mechanism to that employed by burrowing anemones such as Peachia hastata from lower latitudes. Penetration initially is brought about by peristaltic contractions that involve only the modified base, or physa. Later, as the column becomes buried, the peristaltic contractions start in the upper part of the scapus and pass down the column before extending the physa. At this stage penetration is aided by contractions of the longitudinal muscles that draw the column down into the sediment. At degrees C the frequency of initiation of peristaltic contractions down the column, and of contractions of the longitudinal muscles are on average &gt; 1.6 and &gt;4.0 times slower, respectively, compared with those of Peachia hastata from Scotland, recorded at similar to 11-14 degrees C. Q(10) values calculated from these data are in the range 1.4-3.0, and thus provide little evidence supporting any evolutionary acclimation of the processes involved in burrowing has occurred in Halcampoides from the Antarctic, although the data are limited. (C) 2000 Elsevier Science B.V. All rights reserved.</t>
  </si>
  <si>
    <t>Scottish Assoc Marine Sci, Oban PA34 4AD, Argyll, Scotland; British Antarctic Survey, Cambridge CB3 0ET, England</t>
  </si>
  <si>
    <t>UHI Millennium Institute; UK Research &amp; Innovation (UKRI); Natural Environment Research Council (NERC); NERC British Antarctic Survey</t>
  </si>
  <si>
    <t>Peck, LS (corresponding author), Scottish Assoc Marine Sci, POB 3, Oban PA34 4AD, Argyll, Scotland.</t>
  </si>
  <si>
    <t>10.1016/S0022-0981(00)00232-X</t>
  </si>
  <si>
    <t>WOS:000089288100004</t>
  </si>
  <si>
    <t>Kantor, YI; Harasewych, MG</t>
  </si>
  <si>
    <t>Obscuranella papyrodes, a new genus and species of abyssal tonnoidean gastropod from Antarctica</t>
  </si>
  <si>
    <t>NAUTILUS</t>
  </si>
  <si>
    <t>Caenogastropoda; Ranellidae; anatomy; systematics</t>
  </si>
  <si>
    <t>RANELLIDAE</t>
  </si>
  <si>
    <t>The new genus Obscuranella and O. papyrodes, its type species, are described from the abyssal plain off the Ross Sea, Antarctica. Obscuranella is included in the primarily tropical, shallow water superfamily Tonnoidea because it has a taenio-glossan radula, extensible proboscis, large salivary glands composed of anterior and posterior lobes, salivary ducts that pass through the nerve ring, and an undifferentiated oesophageal gland. This taxon is precluded from the families Laubierinidae, Pisanianuridae, and Tonnidae because it lacks a monopectinate osphradium, paired proboscis retractor muscles passing through the nerve ring, buccal glands, and rachidian teeth with lateral basal denticles. Obscuranella is assigned to the family Ranellidae primarily on the basis of shell, radular, and opercular morphology. This is the first report of the Tonnoidea in Antarctic waters, and the first record of Ranellidae from abyssal depths.</t>
  </si>
  <si>
    <t>Russian Acad Sci, AN Severtzov Inst Problems Evolut, Moscow 117071, Russia</t>
  </si>
  <si>
    <t>Russian Academy of Sciences; Saratov Scientific Center of the Russian Academy of Sciences; Severtsov Institute of Ecology &amp; Evolution</t>
  </si>
  <si>
    <t>Kantor, YI (corresponding author), Russian Acad Sci, AN Severtzov Inst Problems Evolut, Leninski Prospect 33, Moscow 117071, Russia.</t>
  </si>
  <si>
    <t>Kantor, Yuri/D-5259-2014; Kantor, Yuri/HKW-8238-2023</t>
  </si>
  <si>
    <t>Kantor, Yuri/0000-0002-3209-4940; Kantor, Yuri/0000-0002-3209-4940</t>
  </si>
  <si>
    <t>BAILEY-MATTHEWS SHELL MUSEUM</t>
  </si>
  <si>
    <t>SANIBEL</t>
  </si>
  <si>
    <t>C/O DR JOSE H LEAL, ASSOCIATE/MANAGING EDITOR, 3075 SANIBEL-CAPTIVA RD, SANIBEL, FL 33957 USA</t>
  </si>
  <si>
    <t>0028-1344</t>
  </si>
  <si>
    <t>Nautilus</t>
  </si>
  <si>
    <t>352KM</t>
  </si>
  <si>
    <t>WOS:000089214500004</t>
  </si>
  <si>
    <t>Lack of cold tolerance in a small, brachypterous sub-Antarctic fly, Apetaenus litoralis Eaton (Diptera: Tethinidae), from Marion Island</t>
  </si>
  <si>
    <t>AFRICAN ENTOMOLOGY</t>
  </si>
  <si>
    <t>CRITICAL THERMAL LIMITS; TEMPERATURE TOLERANCE; HARDINESS; CATERPILLAR; LEPIDOPTERA; COLEOPTERA; BIOLOGY; BEETLES</t>
  </si>
  <si>
    <t>Klok, CJ (corresponding author), Univ Pretoria, Dept Zool &amp; Entomol, ZA-0002 Pretoria, South Africa.</t>
  </si>
  <si>
    <t>Caraglia, Michele/AFY-9729-2022; Chown, Steven L/H-3347-2011; Chown, Steven/ABD-7646-2021; Beninati, Simone/AAE-7685-2020; Caraglia, Michele/AAK-4569-2020</t>
  </si>
  <si>
    <t>Caraglia, Michele/0000-0003-2408-6091; Beninati, Simone/0000-0002-2704-0745; Caraglia, Michele/0000-0003-2408-6091</t>
  </si>
  <si>
    <t>ENTOMOLOGICAL SOC SOUTHERN AFRICA</t>
  </si>
  <si>
    <t>HATFIELD</t>
  </si>
  <si>
    <t>PO BOX 13162, HATFIELD 0028, SOUTH AFRICA</t>
  </si>
  <si>
    <t>1021-3589</t>
  </si>
  <si>
    <t>AFR ENTOMOL</t>
  </si>
  <si>
    <t>Afr. Entomol.</t>
  </si>
  <si>
    <t>SEP</t>
  </si>
  <si>
    <t>Entomology</t>
  </si>
  <si>
    <t>406RK</t>
  </si>
  <si>
    <t>WOS:000167228800021</t>
  </si>
  <si>
    <t>Headland, RK</t>
  </si>
  <si>
    <t>Let heroes speak: Antarctic explorers, 1772-1922</t>
  </si>
  <si>
    <t>AMERICAN NEPTUNE</t>
  </si>
  <si>
    <t>Univ Cambridge, Scott Polar Res Inst, Cambridge CB2 1TN, England</t>
  </si>
  <si>
    <t>Headland, RK (corresponding author), Univ Cambridge, Scott Polar Res Inst, Cambridge CB2 1TN, England.</t>
  </si>
  <si>
    <t>PEABODY MUSEUM</t>
  </si>
  <si>
    <t>SALEM</t>
  </si>
  <si>
    <t>E INDIA MARINE HALL, SALEM, MA 01970 USA</t>
  </si>
  <si>
    <t>0003-0155</t>
  </si>
  <si>
    <t>AM NEPTUNE</t>
  </si>
  <si>
    <t>Am. Neptune</t>
  </si>
  <si>
    <t>FAL</t>
  </si>
  <si>
    <t>532HY</t>
  </si>
  <si>
    <t>WOS:000174469400013</t>
  </si>
  <si>
    <t>Friedheim, R</t>
  </si>
  <si>
    <t>Governing the frozen commons: The Antarctic regime and environmental protection.</t>
  </si>
  <si>
    <t>AMERICAN POLITICAL SCIENCE REVIEW</t>
  </si>
  <si>
    <t>Univ So Calif, Los Angeles, CA 90089 USA</t>
  </si>
  <si>
    <t>Friedheim, R (corresponding author), Univ So Calif, Los Angeles, CA 90089 USA.</t>
  </si>
  <si>
    <t>0003-0554</t>
  </si>
  <si>
    <t>1537-5943</t>
  </si>
  <si>
    <t>AM POLIT SCI REV</t>
  </si>
  <si>
    <t>Am. Polit. Sci. Rev.</t>
  </si>
  <si>
    <t>Political Science</t>
  </si>
  <si>
    <t>Government &amp; Law</t>
  </si>
  <si>
    <t>347CV</t>
  </si>
  <si>
    <t>WOS:000088910600088</t>
  </si>
  <si>
    <t>Wright, DM; Davies, JA; Robinson, TR; Chapman, PJ; Yeoman, TK; Thomas, EC; Lester, M; Cowley, SWH; Stocker, AJ; Horne, RB; Honary, F</t>
  </si>
  <si>
    <t>Space Plasma Exploration by Active Radar (SPEAR): an overview of a future radar facility</t>
  </si>
  <si>
    <t>9th International EISCAT Workshop</t>
  </si>
  <si>
    <t>WERNIGERODE, GERMANY</t>
  </si>
  <si>
    <t>ionosphere; active experiments; radio science; instruments and techniques; space plasma physics; instruments and techniques</t>
  </si>
  <si>
    <t>IONOSPHERIC MODIFICATION EXPERIMENTS; POWER RADIO-WAVES; CUTLASS; TROMSO; BACKSCATTER; HEATER</t>
  </si>
  <si>
    <t>SPEAR is a new polar cap HF radar facility which is to be deployed on Svalbard. The principal capabilities of SPEAR will include the generation of artificial plasma irregularities, operation as an 'all-sky' HF radar, the excitation of ULF waves, and remote sounding of the magnetosphere. Operation of SPEAR in conjunction with the multitude of other instruments on Svalbard, including the EISCAT Svalbard radar, and the overlap of its extensive field-of-view with that of several of the HF radars in the SuperDARN network, will enable in-depth diagnosis of many geophysical and plasma phenomena associated with the cusp region and the substorm expansion phase. Moreover, its ability to produce artificial radar aurora will provide a means for the other instruments to undertake polar cap plasma physics experiments in a controlled manner. Another potential use of the facility is in 'field-line tagging' experiments, for coordinated ground-satellite experiments. Here the scientific objectives of SPEAR are detailed, along with the proposed technical specifications of the system.</t>
  </si>
  <si>
    <t>Univ Leicester, Dept Phys &amp; Astron, Leicester LE1 7RH, Leics, England; Univ Leicester, Dept Engn, Leicester LE1 7RH, Leics, England; British Antarctic Survey, Cambridge CB3 0ET, England; Univ Lancaster, Dept Commun Syst, Lancaster LA1 4YR, England</t>
  </si>
  <si>
    <t>University of Leicester; University of Leicester; UK Research &amp; Innovation (UKRI); Natural Environment Research Council (NERC); NERC British Antarctic Survey; Lancaster University</t>
  </si>
  <si>
    <t>Wright, DM (corresponding author), Univ Leicester, Dept Phys &amp; Astron, Univ Rd, Leicester LE1 7RH, Leics, England.</t>
  </si>
  <si>
    <t>Horne, Richard B/U-3764-2019; Yeoman, Timothy k/L-9105-2014</t>
  </si>
  <si>
    <t>Horne, Richard B/0000-0002-0412-6407; Yeoman, Timothy k/0000-0002-8434-4825; Cowley, Stanley/0000-0002-4041-0034; Honary, Farideh/0000-0002-7998-5628</t>
  </si>
  <si>
    <t>10.1007/s00585-000-1248-7</t>
  </si>
  <si>
    <t>362CV</t>
  </si>
  <si>
    <t>gold, Green Submitted</t>
  </si>
  <si>
    <t>WOS:000089761800027</t>
  </si>
  <si>
    <t>Clarke, A</t>
  </si>
  <si>
    <t>Evolution in the cold</t>
  </si>
  <si>
    <t>British Antarctic Survey, Cambridge, England</t>
  </si>
  <si>
    <t>Clarke, A (corresponding author), British Antarctic Survey, Cambridge, England.</t>
  </si>
  <si>
    <t>10.1017/S0954102000000316</t>
  </si>
  <si>
    <t>361CE</t>
  </si>
  <si>
    <t>WOS:000089703600001</t>
  </si>
  <si>
    <t>Rodhouse, PG; Fanta, E; di Prisco, G; Hureau, JC</t>
  </si>
  <si>
    <t>Special Issue - Evolutionary Biology of Antarctic Organisms</t>
  </si>
  <si>
    <t>WOS:000089703600002</t>
  </si>
  <si>
    <t>Bargelloni, L; Zane, L; Derome, N; Lecointre, G; Patarnello, T</t>
  </si>
  <si>
    <t>Molecular zoogeography of Antarctic euphausiids and notothenioids: from species phylogenies to intraspecific patterns of genetic variation</t>
  </si>
  <si>
    <t>SCAR Workshop on Evolutionary Biology of Antarctic Organisms</t>
  </si>
  <si>
    <t>MAY 12-14, 1999</t>
  </si>
  <si>
    <t>UNIV FED PARANA, CURITIBA, BRAZIL</t>
  </si>
  <si>
    <t>UNIV FED PARANA</t>
  </si>
  <si>
    <t>Euphausiidae; phylogeny; population genetics; Notothenioidei; zoogeography</t>
  </si>
  <si>
    <t>CHAMPSOCEPHALUS-GUNNARI; SUPERBA DANA; EVOLUTION; FISHES; MITOCHONDRIAL; OCEAN; POPULATIONS</t>
  </si>
  <si>
    <t>Published and unpublished data are used to investigate possible mechanisms of species diversification in two key soups of Antarctic organisms. the Notothenioidei and the Euphausiidae. Species distributions are mapped onto molecular phylogenies, and this evidence is interpreted in light of the various ecological and historical factors which characterize the Southern Ocean. The joint effect of diverse agents (vicariance, jump dispersal) appears to be determinant in several cases for species divergence. A review of results from population genetics studies, together with new molecular evidence, confirm the importance of physical barriers (oceanographic fronts) in reducing migration, thereby promoting speciation, at least in notothenioids.</t>
  </si>
  <si>
    <t>Univ Padua, Dept Biol, I-35121 Padua, Italy; Univ Padua, Fac Vet Agr, I-35020 Legnaro, Italy; Museum Natl Hist Nat, F-75231 Paris, France</t>
  </si>
  <si>
    <t>University of Padua; University of Padua; Museum National d'Histoire Naturelle (MNHN)</t>
  </si>
  <si>
    <t>Bargelloni, L (corresponding author), Univ Padua, Dept Biol, Via Ugo Bassi 58-B, I-35121 Padua, Italy.</t>
  </si>
  <si>
    <t>Zane, Lorenzo/G-6249-2010</t>
  </si>
  <si>
    <t>Zane, Lorenzo/0000-0002-6963-2132; PATARNELLO, Tomaso/0000-0003-1794-5791</t>
  </si>
  <si>
    <t>10.1017/S0954102000000328</t>
  </si>
  <si>
    <t>WOS:000089703600003</t>
  </si>
  <si>
    <t>Brandt, A</t>
  </si>
  <si>
    <t>Hypotheses on Southern Ocean peracarid evolution and radiation (Crustacea, Malacostraca)</t>
  </si>
  <si>
    <t>evolution; Peracarida; Notothenioidei; Southern Ocean</t>
  </si>
  <si>
    <t>WEDDELL SEA; LIFE-CYCLE; ISOPODA; REDESCRIPTION; MORPHOLOGY; AMPHIPODA; ASELLOTA; ORIGIN; FISHES</t>
  </si>
  <si>
    <t>A short summary of some the most important hypotheses on the evolution of Southern Ocean peracarid crustaceans and some of the potential reasons for the high biodiversity of this taxon is presented. Besides the knowledge of horizontal and vertical distribution patterns of Southern Ocean peracarids, the importance of the evolution of the notothenioid fishes on the evolution of the Peracarida is discussed. Key questions for a better understanding of evolutionary biology of Southern Ocean Peracarida are highlighted.</t>
  </si>
  <si>
    <t>Univ Hamburg, Inst Zool, D-20146 Hamburg, Germany; Univ Hamburg, Museum Zool, D-20146 Hamburg, Germany</t>
  </si>
  <si>
    <t>University of Hamburg; University of Hamburg</t>
  </si>
  <si>
    <t>Brandt, A (corresponding author), Univ Hamburg, Inst Zool, Martin Luther King Pl 3, D-20146 Hamburg, Germany.</t>
  </si>
  <si>
    <t>Brandt, Angelika/C-1630-2018</t>
  </si>
  <si>
    <t>10.1017/S095410200000033X</t>
  </si>
  <si>
    <t>WOS:000089703600004</t>
  </si>
  <si>
    <t>Eastman, JT</t>
  </si>
  <si>
    <t>Antarctic notothenioid fishes as subjects for research in evolutionary biology</t>
  </si>
  <si>
    <t>adaptive radiation; Antarctic; evolution; fish fauna; Notothenioidei; species flock</t>
  </si>
  <si>
    <t>SEYMOUR-ISLAND; WEDDELL SEA; ANTIFREEZE GLYCOPEPTIDES; MOLECULAR EVOLUTION; EOCENE; PERCIFORMES; MITOCHONDRIAL; DIVERSITY; TELEOSTEI; PENINSULA</t>
  </si>
  <si>
    <t>Antarctica is a continental island and the waters of its shelf and upper slope are an insular evolutionary site. The shelf waters resemble a closed basin in the Southern Ocean, separated from other continents by distance, current patterns and subzero temperatures. The benthic fish fauna of the shelf and upper slope of the Antarctic Region includes 213 species with higher taxonomic diversity confined to 18 families. Ninety-sis notothenioids, 67 liparids and 23 zoarcids comprise 45%, 32% and 11% of the fauna, a combined total of 88%. In high latitude (71-78 degrees S) shelf areas notothenioids dominate abundance and biomass at levels of 90-95%. Notothenioids are also morphologically and ecologically diverse. Although they lack a swim bladder, the hallmark of the notothenioid radiation has been repeated diversification into water column habitats. There are pelagic, semipelagic, cryopelagic and epibenthic species. Notothenioids exhibit the disproportionate speciosity and high endemism characteristic of fish species flock. Antifreeze glycopeptides originating from a transformed trypsinogen gene are a key innovation. It is not known when the modern Antarctic shelf fauna assumed its current taxonomic composition. A late Eocene fossil fauna was taxonomically diverse and cosmopolitan. There was a subsequent faunal replacement with little carryover of families into the modern fauna. Basal notothenioid clades probably diverged in Gondwanan shelf locations during the early Tertiary. Dates inferred from molecular sequences suggest that phyletically derived Antarctic clades arose 15-5 m.y.a.</t>
  </si>
  <si>
    <t>Ohio Univ, Dept Biomed Sci, Athens, OH 45701 USA</t>
  </si>
  <si>
    <t>University System of Ohio; Ohio University</t>
  </si>
  <si>
    <t>Ohio Univ, Dept Biomed Sci, Athens, OH 45701 USA.</t>
  </si>
  <si>
    <t>eastman@ohiou.edu</t>
  </si>
  <si>
    <t>10.1017/S0954102000000341</t>
  </si>
  <si>
    <t>WOS:000089703600005</t>
  </si>
  <si>
    <t>Gaffney, PM</t>
  </si>
  <si>
    <t>Molecular tools for understanding population structure in Antarctic species</t>
  </si>
  <si>
    <t>Champsocephalus; Dissostichus; genetics; intron; Martialia; mtDNA; polymorphism; population structure</t>
  </si>
  <si>
    <t>MITOCHONDRIAL-DNA SEQUENCES; CHAMPSOCEPHALUS-GUNNARI; MICROSATELLITE LOCI; CEPHALOPODS; INTRONS; GENE; FISH; PCR; PRIMERS; CONSERVATION</t>
  </si>
  <si>
    <t>During the last decade, methods for detecting DNA polymorphisms have proliferated at a bewildering pace. Today the investigator must choose among various types of genetic markers as well as between a variety of methods for discovering and screening polymorphisms. Polymorphisms useful for the analysis of population structure are found in both mitochondrial and nuclear genomes. Marker development may proceed along two routes: 1) discovery of species-specific markers, and 2) application of universal methods. Species-specific markers are based on sequence data from the target species or close relatives, whereas universal markers are based on the use of polymerase chain reaction (PCR) primers targeted to regions highly conserved across diverse taxa. Markers commonly employed include mitochondrial DNA polymorphisms, microsatellites, anonymous nuclear loci and known genes (both coding and noncoding regions). Methods for detecting polymorphisms range from technically simple (RELP analysis) to more sophisticated mutation-scanning methods. We review the application of these approaches to several key Antarctic species (the Patagonian toothfish Dissostichus eleginoides, the mackerel icefish Champsocephalus gunnari, and the squid Martialia hyadesi Rochebrune &amp; Mabille, 1889) and present preliminary data on genetic polymorphisms ill toothfish and icefish.</t>
  </si>
  <si>
    <t>Gaffney, PM (corresponding author), Univ Delaware, Coll Marine Studies, Lewes, DE 19958 USA.</t>
  </si>
  <si>
    <t>10.1017/S0954102000000353</t>
  </si>
  <si>
    <t>WOS:000089703600006</t>
  </si>
  <si>
    <t>Gutt, J</t>
  </si>
  <si>
    <t>Some driving forces structuring communities of the sublittoral Antarctic macrobenthos</t>
  </si>
  <si>
    <t>benthos; disturbance; epibiotic relationships; icebergs; pelago-benthic coupling; vicariance</t>
  </si>
  <si>
    <t>SOUTHEASTERN WEDDELL SEA; BRITTLE STARS ECHINODERMATA; BOTTOM WATER FORMATION; KING-GEORGE-ISLAND; DEEP-SEA; SIGNY-ISLAND; BENTHIC COMMUNITY; LAZAREV-SEA; QUANTITATIVE INVESTIGATIONS; MARINE-INVERTEBRATES</t>
  </si>
  <si>
    <t>Community analyses of the macrobenthos living on the Weddell Sea shelf revealed a distinct horizontal patchiness. Within some systematic groups a specific faunistic classification could clearly be defined, e.g. for asterozoans and holothurians. Whilst for fish, only a general zoogeographical pattern was discernible, there were some recognisable relationships to different microhabitats. The extreme differences in the distribution of sponges observed seems to reflect their highly variable biological characteristics. Studies using underwater imaging methods for benthic research have provided strong evidence for the ecological significance of two factors. The first, iceberg scouring, leads to a variety of simultaneous stages of recolonization, which result in an increase in beta-diversity. As a consequence, it is unlikely that regionally a stage approaching a theoretical climax will ever be attained. Secondly, the structural diversity of living substrata provides the basis for an additional variety of epibiotic species. Only weak or non-detectable correlations have been found between benthic assemblages and physical parameters, such as water depth, sediment type, bathymetric features and the abundance of deposited phytodetritus. This indicates a benthic system which is relatively uncoupled from processes in the water column. The combination of stable environmental conditions and disturbances taking place over long periods of time, which are partly a special feature of Antarctica's glacial history, shaped the diversity and faunal composition of the macrobenthos. Consequently, neither Houston's intermediate-disturbance-hypothesis nor Sander's stability-time-hypothesis can be rejected for this part of the Antarctic ecosystem.</t>
  </si>
  <si>
    <t>jgutt@awi-bremerhaven.de</t>
  </si>
  <si>
    <t>Gutt, Julian/0000-0003-3773-9370</t>
  </si>
  <si>
    <t>10.1017/S0954102000000365</t>
  </si>
  <si>
    <t>WOS:000089703600007</t>
  </si>
  <si>
    <t>Kappen, L</t>
  </si>
  <si>
    <t>Some aspects of the great success of lichens in Antarctica</t>
  </si>
  <si>
    <t>annual carbon balance; freezing tolerance; ice; lichens; low-temperature photosynthesis; photostress; snow</t>
  </si>
  <si>
    <t>CARBON-DIOXIDE EXCHANGE; SOUTHERN-VICTORIA-LAND; CONTINENTAL ANTARCTICA; MICROCLIMATIC CONDITIONS; UMBILICARIA-APRINA; GENETIC-VARIATION; DARK RESPIRATION; VASCULAR PLANTS; WILKES-LAND; PHOTOSYNTHESIS</t>
  </si>
  <si>
    <t>The terrestrial vegetation in Antarctica is restricted to small, very isolated, ice-free areas on the continent and on the islands adjacent to the Peninsula region. Lichens, a symbiosis between a fungus and an alga or cyanobacterium, form the most prominent component in the vegetation. They have the greatest number of species compared with other cryptogamic and unicellular organisms. They are able to colonize all types of solid substrata and have a low mineral nutrient demand. Their physiological vigour is derived from high freezing tolerance and the ability to be photosynthetically activated by water vapour uptake from snow at temperatures as low as c. -20 degrees C. Long-term monitoring in their natural habitats demonstrates that lichens are photosynthetically active at suboptimal temperatures. Locally, however, they can benefit from meltwater on insolated rocks, but only for short periods in early summer. Although at this time they may be exposed to substrate temperatures of &gt; 20 degrees C and strong light they do not suffer from photostress. If, in winter, lichens are covered and kept dark by snow with temperatures close to 0 degrees C, lichens enter a negative carbon balance. This effect may be relevant to lichens under conditions of global or regional warming.</t>
  </si>
  <si>
    <t>Univ Kiel, Inst Bot, D-24098 Kiel, Germany</t>
  </si>
  <si>
    <t>Kappen, L (corresponding author), Univ Kiel, Inst Bot, Olshaussenstr 40, D-24098 Kiel, Germany.</t>
  </si>
  <si>
    <t>10.1017/S0954102000000377</t>
  </si>
  <si>
    <t>WOS:000089703600008</t>
  </si>
  <si>
    <t>Medlin, LK; Lange, M; Nöthig, EM</t>
  </si>
  <si>
    <t>Genetic diversity in the marine phytoplankton:: a review and a consideration of Antarctic phytoplankton</t>
  </si>
  <si>
    <t>Antarctic phytoplankton; genetic diversity; ITS; microsatellites; rRNA sequencing</t>
  </si>
  <si>
    <t>SKELETONEMA-COSTATUM BACILLARIOPHYCEAE; DINOPHYCEAE SPECIES COMPLEX; THALASSIOSIRA-PSEUDONANA; INTRASPECIFIC VARIATION; POPULATION-STRUCTURE; PLANKTONIC DIATOMS; EMILIANIA-HUXLEYI; ISOZYME ANALYSIS; WEDDELL SEA; ALGAL CLASS</t>
  </si>
  <si>
    <t>Molecular analysis of phytoplankton population structure has lagged behind other groups and has usually been inferred from physiological data determined from relatively few clones. Nearly every physiological measurement has shown that no single clone of any phytoplankton species can be considered truly representative of that species. One important reason why studies of phytoplankton population structure are perhaps 20 or more years behind those of other organisms is because of the necessity to establish clonal cultures prior to genetic analysis and the inability to perform fine-scale sampling under most conditions. Isozyme analysis, performed for a few species, has revealed heterozygosity between populations. In addition, fingerprinting analyses, such as Random Amplified Polymorphic DNAs (RAPDs) or multi-locus probes, have shown that phytoplankton blooms are not mono-clonal, are highly diverse and isolates are related by geographic origin. In the Southern Ocean, only two studies have been made of the population structure of phytoplankton. The first, based on quantitative genetic analysis of morphometric features, suggests that there is sufficient genetic variation in populations of Thalassiosira tumida to allow speciation in terms of major shifts in morphology under conditions of continued directional selection. The second, using sequence data from the noncoding regions of the internal transcribed spacer region (ITS) in the ribosomal cistron as a molecular marker, shows that populations of Phaeocystis antarctica within continental water masses are homogenous with little evidence of population structure. Populations found within the Antarctic Circumpolar Current are genetically distinct from others, suggesting the currents also play an important role in determining population structure in phytoplankton populations.</t>
  </si>
  <si>
    <t>medlin, linda k/G-4820-2010; Nöthig, Eva-Maria/AAS-7253-2021</t>
  </si>
  <si>
    <t>medlin, linda k/0000-0001-6014-8339; Nothig, Eva-Maria/0000-0002-7527-7827</t>
  </si>
  <si>
    <t>10.1017/S0954102000000389</t>
  </si>
  <si>
    <t>WOS:000089703600009</t>
  </si>
  <si>
    <t>Pisano, E; Ozouf-Costaz, C</t>
  </si>
  <si>
    <t>Chromosome change and the evolution in the Antarctic fish suborder Notothenioidei</t>
  </si>
  <si>
    <t>Antarctic fish; chromosomes; cytogenetics; evolution; Notothenioidei</t>
  </si>
  <si>
    <t>IN-SITU HYBRIDIZATION; PERCIFORMES; CHANNICHTHYIDAE; TELEOSTEI; TELOMERES; SEA</t>
  </si>
  <si>
    <t>The majority of species of the Antarctic coastal fish fauna is represented today by the perciform suborder Notothenioidei. The separation of basal lineages of notothenioids has been estimated to have occurred between 23 and 22 million years ago (m.y.a.), while a major diversification probably occurred 16-10 m.y.a. Cytogenetic approaches aim to study the genomic change that, at the cell level, accompanied the radiation of this group. The information available for 66 of 120-130 species makes possible the description of the main patterns of chromosome diversification within the suborder. Within some families (Channichthyidae, Artedidraconidae) the range of the chromosomal variability seems to be minimal whilst the high karyotypic diversity of Nototheniidae and Bathydraconidae is consistent with morphological and molecular data suggesting the paraphyletic nature of these two taxa. Molecular cytogenetics allows detailed chromosome characterization, including mapping of ribosomal genes and of telomeric sequences, thus providing information on processes of karyotypic rearrangement and direction of chromosomal change. Active process of genomic restructuring leads to intraspecific variability in several species, at different levels of chromosomal organization. The growing amount of information make it possible to use notothenioids as a model for testing hypotheses of evolutionary change in marine organisms, including chromosomal diversification.</t>
  </si>
  <si>
    <t>Univ Genoa, Dipartimento Biol Sperimentale Applicata &amp; Ambien, I-16132 Genoa, Italy; Museum Natl Hist Nat, Lab Ichtyol Gen &amp; Appl &amp; Serv Commun Systemat Mol, CNRS FR 1541, F-75231 Paris 05, France</t>
  </si>
  <si>
    <t>University of Genoa; Museum National d'Histoire Naturelle (MNHN); Centre National de la Recherche Scientifique (CNRS)</t>
  </si>
  <si>
    <t>Pisano, E (corresponding author), Univ Genoa, Dipartimento Biol Sperimentale Applicata &amp; Ambien, Viale Benedetto XV 5, I-16132 Genoa, Italy.</t>
  </si>
  <si>
    <t>10.1017/S0954102000000390</t>
  </si>
  <si>
    <t>WOS:000089703600010</t>
  </si>
  <si>
    <t>Razouls, S; Razouls, C; De Bovée, F</t>
  </si>
  <si>
    <t>Biodiversity and biogeography of Antarctic copepods</t>
  </si>
  <si>
    <t>distribution; diversity; pelagic copepods</t>
  </si>
  <si>
    <t>PRINCE-EDWARD-ISLANDS; FEMALE GENITAL STRUCTURES; WEDDELL SEA ANTARCTICA; ZOOPLANKTON COMMUNITY; MCMURDO SOUND; MESOSCALE DISTRIBUTION; SOUTHERN-OCEAN; LIFE-CYCLE; KERGUELEN ARCHIPELAGO; DISTRIBUTION PATTERNS</t>
  </si>
  <si>
    <t>A census of pelagic copepods identifies 346 species from 38 families (i.e. 16.7% of all copepods). Among them, 289 species are considered cosmopolitan and 57 endemic. Most of the species were described in the late 19th or early 20th century. However, due to a resurgence of interest in biological diversity, a large number of exhaustive revisions at various taxonomic levels have recently been initiated. One hundred and thirteen documents covering the census and distribution of copepod species are analysed. The distribution of species in the South Seas is given for 24 sectors chosen in relation to the geographical coordinates of the South Atlantic, South Pacific and Southern Indian oceans and their location with respect to the Antarctic Convergence or the continental shelf. The respective roles of Lagrangian displacement, of the hydrological features characterising the Southern Ocean and of the general ocean currents are emphasised to explain the scattered distributions of the species. Twenty-one species are catalogued as bipolar, 46 species as specifically sub-Antarctic and 222 cosmopolitan ones are probably from sub-tropical/temperate regions.</t>
  </si>
  <si>
    <t>Lab Arago, Observ Oceanol, CNRS UMR 7621, F-66650 Banyuls sur Mer, France</t>
  </si>
  <si>
    <t>Sorbonne Universite; Centre National de la Recherche Scientifique (CNRS); CNRS - National Institute for Earth Sciences &amp; Astronomy (INSU)</t>
  </si>
  <si>
    <t>Razouls, S (corresponding author), Lab Arago, Observ Oceanol, CNRS UMR 7621, F-66650 Banyuls sur Mer, France.</t>
  </si>
  <si>
    <t>10.1017/S0954102000000407</t>
  </si>
  <si>
    <t>WOS:000089703600011</t>
  </si>
  <si>
    <t>Skotnicki, ML; Ninham, JA; Selkirk, PM</t>
  </si>
  <si>
    <t>Genetic diversity, mutagenesis and dispersal of Antarctic mosses - a review of progress with molecular studies</t>
  </si>
  <si>
    <t>Antarctica; bryophytes; genetic diversity; mutagenesis; RAPD</t>
  </si>
  <si>
    <t>SOUTHERN-VICTORIA-LAND; BRYUM-ARGENTEUM; ROSS-ISLAND; SARCONEURUM-GLACIALE; SOMATIC MUTATION; RAPD ANALYSIS; DNA; POPULATIONS; FUMAROLES; BRYACEAE</t>
  </si>
  <si>
    <t>In investigating the extent of genetic diversity in Antarctic mosses the RAPD technique has proven especially useful in demonstrating that these mosses exhibit extensive genetic variation (levels being similar to those in temperate regions), and that within-colony variation is apparently caused not only by immigration and establishment of propagules from elsewhere, but also by mutagenesis. Dispersal of these mosses can also be followed using the RAPD technique; both short-distance dispersal by wind or water (depending on the moss species) and longer distance dispersal by wind across the ice cap has been demonstrated Relationships with temperate mosses of the same species are being investigated to determine the origins of Antarctic populations. Genetic technology is also facilitating the taxonomic identification of moss specimens which cannot be identified morphologically due to phenotypic plasticity in Antarctica. Together, these genetic studies are starting to provide information of fundamental scientific importance for understanding the evolution, origins and dispersal mechanisms of Antarctic mosses, and their response to climate change.</t>
  </si>
  <si>
    <t>Australian Natl Univ, Inst Adv Studies, Res Sch Biol Sci, Canberra, ACT 2601, Australia; Macquarie Univ, Dept Sci Biol, Sydney, NSW 2109, Australia</t>
  </si>
  <si>
    <t>Australian National University; Macquarie University</t>
  </si>
  <si>
    <t>Australian Natl Univ, Inst Adv Studies, Res Sch Biol Sci, Canberra, ACT 2601, Australia.</t>
  </si>
  <si>
    <t>skotnicki@rsbs.anu.edu.au</t>
  </si>
  <si>
    <t>10.1017/S0954102000000419</t>
  </si>
  <si>
    <t>WOS:000089703600012</t>
  </si>
  <si>
    <t>Vincent, WF</t>
  </si>
  <si>
    <t>Evolutionary origins of Antarctic microbiota: invasion, selection and endemism</t>
  </si>
  <si>
    <t>algae; bacteria; biogeography; cyanobacteria dispersal; fungi; polar; protozoa</t>
  </si>
  <si>
    <t>RIBOSOMAL-RNA GENE; MCMURDO ICE SHELF; SP-NOV; SEA-ICE; LAKE VOSTOK; TERRESTRIAL ALGAE; LOW-TEMPERATURE; POND SEDIMENT; GREEN-ALGAE; GROWTH-RATE</t>
  </si>
  <si>
    <t>Increasing interest in the ecological roles, conservation and biotechnological potential of Antarctic microbiota has focused attention on their biodiversity and evolutionary origins. Antarctic microbial ecosystems provide useful models for general questions in evolutionary ecology given the relative isolation of the South Polar Region, the severe biological constraints imposed by the polar environment, and the absence of higher plants and animals in some Antarctic habitats. Sealed environments such as Lake Vostok and the overlying East Antarctic ice sheet provide unique, natural culture collections for studying microorganisms that have been isolated from the global gene pool over timescales of evolutionary significance. Most Antarctic environments, however, continue to receive microbial propagules from outside the region, as indicated by spore trap data, the microflora found in Antarctic snow and ice, the colonising taxa at geothermal sites, and the high frequency of apparently cosmopolitan species in most habitats. Differences in environmental stability and selection pressure among environments are likely to influence the degree of adaptive radiation and microbial endemism. The latter seems greater in the Southern Ocean by comparison with non-marine ecosystems of Antarctica, although there is some evidence of endemic species in highly specialised niches on the continent such. as in the endolithic habitat and saline lakes. Analytical techniques such as 16S rDNA sequencing and DNA-DNA hybridisation are beginning to provide new insights into the genetic affinities and biodiversity of Antarctic microbiota, and are leading to a more rigorous evaluation of microbial endemism.</t>
  </si>
  <si>
    <t>Univ Laval, Dept Biol, Ste Foy, PQ G1K 7P4, Canada; Univ Laval, Ctr Etud Nord, Ste Foy, PQ G1K 7P4, Canada</t>
  </si>
  <si>
    <t>Laval University; Laval University</t>
  </si>
  <si>
    <t>Univ Laval, Dept Biol, Ste Foy, PQ G1K 7P4, Canada.</t>
  </si>
  <si>
    <t>Vincent, Warwick F/C-9522-2009; Vincent, Warwick/AAH-6152-2019</t>
  </si>
  <si>
    <t>Vincent, Warwick/0000-0001-9055-1938</t>
  </si>
  <si>
    <t>10.1017/S0954102000000420</t>
  </si>
  <si>
    <t>WOS:000089703600013</t>
  </si>
  <si>
    <t>White, PL; Wynn-Williams, DD; Russell, NJ</t>
  </si>
  <si>
    <t>Diversity of thermal responses of lipid composition in the membranes of the dominant culturable members of an Antarctic fellfield soil bacterial community</t>
  </si>
  <si>
    <t>Antarctic soil; arthrobacters; fatty acids; membrane lipids; psychrophiles; psychrotolerant bacteria; thermal adaptation</t>
  </si>
  <si>
    <t>ADAPTATION</t>
  </si>
  <si>
    <t>The eight dominant culturable members of an Antarctic fellfield soil bacterial community were four Arthrobacter species, Sanguibacter suarezii, Aureobacterium testaceum, a Bacillus sp., and a Pseudomonas sp.. All of the isolates grew at 2 degrees C, but two of the Arthrobacter spp. were psychrophilic, while the other six bacterial species were psychrotolerant. However, the fastest growing organisms at low temperatures were not the psychrophiles, and the psychrotolerant Bacillus sp. grew fastest at temperatures up to 25 degrees C. When the growth temperature of cultures was altered, the phospholipid content of the two psychrophilic Arthrobacter spp. decreased, whereas the phospholipid contents of the psychrotolerant spp. either increased or did not change. Only one psychrophilic and one psychrotolerant Arthrobacter sp, modified its polar lipid head-group composition in response to a lowering of growth temperature. The change in Arthrobacter sp. CL2-1 was particularly marked and novel in that at low temperatures phosphatidylethanolanline was replaced completely by a phosphoglycolipid and phosphatidylserine, neither of which was present at higher growth temperatures. All eight isolates altered the fatty acyl compositions of their membrane lipids in a manner that was only partially dependent on taxonomic status. In Bacillus sp. C2-1 the changes were opposite to that predicted on the basis of membrane fluidity considerations. The isolates used different combinations of changes in fatty acid branching, unsaturation and chain length. There was no single strategy of thermal adaptation that was employed and the variety of strategies used did not follow phylogenetic boundaries.</t>
  </si>
  <si>
    <t>Univ London Wye Coll, Dept Biol Sci, Ashford TN25 5AH, Kent, England; British Antarctic Survey, NERC, Cambridge CB3 0ET, England</t>
  </si>
  <si>
    <t>Imperial College London; UK Research &amp; Innovation (UKRI); Natural Environment Research Council (NERC); NERC British Antarctic Survey</t>
  </si>
  <si>
    <t>Univ London Wye Coll, Dept Biol Sci, Ashford TN25 5AH, Kent, England.</t>
  </si>
  <si>
    <t>n.russell@wye.ac.uk</t>
  </si>
  <si>
    <t>White, P. Lewis/I-6428-2019</t>
  </si>
  <si>
    <t>10.1017/S0954102000000432</t>
  </si>
  <si>
    <t>WOS:000089703600014</t>
  </si>
  <si>
    <t>Haward, M; Zwart, I</t>
  </si>
  <si>
    <t>Local government in Tasmania: Reform and restructuring</t>
  </si>
  <si>
    <t>AUSTRALIAN JOURNAL OF PUBLIC ADMINISTRATION</t>
  </si>
  <si>
    <t>Tasmania has a long history of failed attempts at restructuring local government boundaries yet managed a major reform process of 'modernisation' between 1990 and 1993 that incorporated major changes to council operations together with a restructuring of boundaries and a reduction from 46 to 29 councils. This process can be compared with a recent attempt to reduce further the number of local governments. In April 1997 the Liberal Premier announced reforms ('Directions for Tasmania') that led to a further reduction in the number of councils. This process collapsed following legal challenges and the proroguing of parliament prior to the 1998 state election. The defeat of the Liberal government saw the abandonment of the proposed amalgamations and establishment of 'partnerships' between the new ALP state government and councils. This paper compares the 1990-93 and 1997-98 reform processes and evaluates the outcomes of the amalgamations in 1990-93. Ir argues that the success of amalgamation and reform in local government has been strongly influenced by the degree of local government involvement and support in the reform process, lessons that have wider application.</t>
  </si>
  <si>
    <t>Univ Tasmania, Inst Antarctic &amp; So Ocean Studies, Hobart, Tas 7001, Australia; Univ Tasmania, Sch Govt, Hobart, Tas 7001, Australia</t>
  </si>
  <si>
    <t>Haward, M (corresponding author), Univ Tasmania, Inst Antarctic &amp; So Ocean Studies, Hobart, Tas 7001, Australia.</t>
  </si>
  <si>
    <t>Haward, Marcus/G-3369-2014</t>
  </si>
  <si>
    <t>Haward, Marcus/0000-0003-4775-0864</t>
  </si>
  <si>
    <t>BLACKWELL PUBL LTD</t>
  </si>
  <si>
    <t>108 COWLEY RD, OXFORD OX4 1JF, OXON, ENGLAND</t>
  </si>
  <si>
    <t>0313-6647</t>
  </si>
  <si>
    <t>AUST J PUBL ADMIN</t>
  </si>
  <si>
    <t>Aust. J. Public Adm.</t>
  </si>
  <si>
    <t>10.1111/1467-8500.00165</t>
  </si>
  <si>
    <t>Public Administration</t>
  </si>
  <si>
    <t>446AF</t>
  </si>
  <si>
    <t>WOS:000169490200004</t>
  </si>
  <si>
    <t>Brubakk, AO</t>
  </si>
  <si>
    <t>Man in extreme environments</t>
  </si>
  <si>
    <t>AVIATION SPACE AND ENVIRONMENTAL MEDICINE</t>
  </si>
  <si>
    <t>International Workshop on Human Factors in Space</t>
  </si>
  <si>
    <t>JUL 07-09, 1999</t>
  </si>
  <si>
    <t>TOKYO, JAPAN</t>
  </si>
  <si>
    <t>extreme environments; polar expeditions</t>
  </si>
  <si>
    <t>Humans have demonstrated the ability to live and work in many adverse environments. Many examples demonstrate that our understanding of humans' ability to adapt to extreme environments is limited, but it is reasonable to assume that the main problems in space exploration will be psychological and social. It is argued that polar expeditions of an earlier age are a better model for space exploration than confinement studies or Antarctic overwintering. Some aspects of the reason for the success of these expeditions are discussed and the lessons that can be used are pointed out.</t>
  </si>
  <si>
    <t>Norwegian Univ Sci &amp; Technol, Fac Med, Dept Physiol &amp; Biomed Engn, N-7034 Trondheim, Norway</t>
  </si>
  <si>
    <t>Norwegian University of Science &amp; Technology (NTNU)</t>
  </si>
  <si>
    <t>Brubakk, AO (corresponding author), Med Technol Ctr, Dept Physiol &amp; Biomed Engn, N-7005 Trondheim, Norway.</t>
  </si>
  <si>
    <t>AEROSPACE MEDICAL ASSOC</t>
  </si>
  <si>
    <t>320 S HENRY ST, ALEXANDRIA, VA 22314-3579 USA</t>
  </si>
  <si>
    <t>0095-6562</t>
  </si>
  <si>
    <t>1943-4448</t>
  </si>
  <si>
    <t>AVIAT SPACE ENVIR MD</t>
  </si>
  <si>
    <t>Aviat. Space Environ. Med.</t>
  </si>
  <si>
    <t>A126</t>
  </si>
  <si>
    <t>A130</t>
  </si>
  <si>
    <t>Public, Environmental &amp; Occupational Health; Medicine, General &amp; Internal; Sport Sciences</t>
  </si>
  <si>
    <t>Public, Environmental &amp; Occupational Health; General &amp; Internal Medicine; Sport Sciences</t>
  </si>
  <si>
    <t>350VG</t>
  </si>
  <si>
    <t>WOS:000089121400025</t>
  </si>
  <si>
    <t>Sandal, GM</t>
  </si>
  <si>
    <t>Coping in Antarctica: Is it possible to generalize results across settings?</t>
  </si>
  <si>
    <t>coping; personality; Antarctica; analog; space</t>
  </si>
  <si>
    <t>PERSONALITY; EXPEDITION; POLE</t>
  </si>
  <si>
    <t>Background: To gain knowledge about psychological issues in space, data have been collected from groups in isolated and confined settings on Earth. This study examines the possibility of generalizing psychological findings across such environments. Hypothesis: Psychological reactions among personnel in different Antarctic environments show similar time patterns. Antarctic personnel differ in personality from submariners to crews confined in hyperbaric chambers to military recruits. Methods: Psychological reactions were evaluated by the Revised Antarctic questionnaire. The Personality Characteristic inventory was used to measure personality. Results Personnel stationed on a ship (n = 19) showed high coping during the whole mission, whereas personnel on land bases (n = 18) showed a marked decline around the third quarter. Reduced coping in the land-based groups was associated with stress from interpersonal relationships. Compared with submariners (n = 54) and hyperbaric chamber crews (n = 20), Antarctic personnel scored lower on competitiveness and higher on achievement striving; Conclusions Similarities in physical, individual and group characteristics should be considered before extrapolating psychological findings across settings.</t>
  </si>
  <si>
    <t>Univ Bergen, Dept Psychosocial Sci, N-5009 Bergen, Norway</t>
  </si>
  <si>
    <t>University of Bergen</t>
  </si>
  <si>
    <t>Sandal, GM (corresponding author), Univ Bergen, Dept Psychosocial Sci, Christiesgt 12, N-5009 Bergen, Norway.</t>
  </si>
  <si>
    <t>Sandal, Gro Mjeldheim/0000-0001-9017-9654</t>
  </si>
  <si>
    <t>A37</t>
  </si>
  <si>
    <t>A43</t>
  </si>
  <si>
    <t>Conference Proceedings Citation Index - Science (CPCI-S); Science Citation Index Expanded (SCI-EXPANDED); Social Science Citation Index (SSCI)</t>
  </si>
  <si>
    <t>WOS:000089121400008</t>
  </si>
  <si>
    <t>Stuster, J; Bacheland, C; Suedfeld, P</t>
  </si>
  <si>
    <t>The relative importance of behavioral issues during long-duration ICE missions</t>
  </si>
  <si>
    <t>isolated environments; behavior; Antarctica; journals; psychology</t>
  </si>
  <si>
    <t>Previous studies of isolated and confined environments (ICEs) have been unable to assign relative priority to the many behavioral issues affecting participants. The current study analyzed psychologically relevant entries in the journals of nine leaders and physicians of French circumpolar expeditions. More than 100 specific themes emerged, distributed across 22 categories. Group Interaction was found to be the most salient of the categories, followed by Outside Communications, Workload, Recreation and Leisure, Medical Support, Adjustment, Leadership, Event, and Food. Substantial evidence of a third quarter phenomenon was found in all expeditions. Unexpectedly, shorter missions (69-180 d) generated more negative reactions than longer missions (230-363 d) and diaries from the sub-antarctic stations were more negative than those from the Antarctic. The study provides quantitative bases for judgments concerning the relative importance of psychological Issues.</t>
  </si>
  <si>
    <t>Anacapa Sci Inc, Santa Barbara, CA 93101 USA; Territoire Terres Australes &amp; Antarct Francaises, Paris, France; Inst Francais Rech &amp; Technol Polaires, Paris, France; Univ British Columbia, Vancouver, BC V5Z 1M9, Canada</t>
  </si>
  <si>
    <t>Stuster, J (corresponding author), Anacapa Sci Inc, POB 519,301 E Carrillo St, Santa Barbara, CA 93101 USA.</t>
  </si>
  <si>
    <t>A17</t>
  </si>
  <si>
    <t>A25</t>
  </si>
  <si>
    <t>WOS:000089121400005</t>
  </si>
  <si>
    <t>Gorshkov, ES; Shapovalov, SN; Sokolovskii, VV; Troshichev, OA</t>
  </si>
  <si>
    <t>Unithiol test as a detector of impulse cosmophysical radiation</t>
  </si>
  <si>
    <t>BIOFIZIKA</t>
  </si>
  <si>
    <t>unithiol test; cosmophysical radiation; gravitational influence</t>
  </si>
  <si>
    <t>Dynamics of the oxidation rate of unithiol (sodium dimercaptopropansulfonate) by sodium-nitrite was studied under perfect ecological conditions in Antarctica. Short-term spikes (signals) ill optical density of the examined solution were found. Special features of these signals, such as the high penetrating ability, the obvious dependence of number of signals on the Sun' longitude, and the high speed of propagation (V greater than or equal to 300000 km/s), indicate the astrophysical origin and possible gravitational causality of these signals.</t>
  </si>
  <si>
    <t>Russian Acad Sci, Inst Terr Magnetism Ionosphere &amp; Radio Wave Propa, St Petersburg Filial, St Petersburg 191023, Russia; Arctic &amp; Antarctic Res Inst, St Petersburg 199397, Russia; Russian Acad Sci, Inst Analyt Instrumentat, St Petersburg 198103, Russia</t>
  </si>
  <si>
    <t>Russian Academy of Sciences; St. Petersburg Scientific Centre of the Russian Academy of Sciences; Arctic &amp; Antarctic Research Institute; Russian Academy of Sciences; St. Petersburg Scientific Centre of the Russian Academy of Sciences</t>
  </si>
  <si>
    <t>Gorshkov, ES (corresponding author), Russian Acad Sci, Inst Terr Magnetism Ionosphere &amp; Radio Wave Propa, St Petersburg Filial, Muchnoi Per 2, St Petersburg 191023, Russia.</t>
  </si>
  <si>
    <t>39 DIMITROVA UL., 113095 MOSCOW, RUSSIA</t>
  </si>
  <si>
    <t>0006-3029</t>
  </si>
  <si>
    <t>BIOFIZIKA+</t>
  </si>
  <si>
    <t>Biofizika</t>
  </si>
  <si>
    <t>SEP-OCT</t>
  </si>
  <si>
    <t>Biophysics</t>
  </si>
  <si>
    <t>370ND</t>
  </si>
  <si>
    <t>WOS:000165128400029</t>
  </si>
  <si>
    <t>Poole, I</t>
  </si>
  <si>
    <t>Fossil angiosperm wood: its role in the reconstruction of biodiversity and palaeoenvironment</t>
  </si>
  <si>
    <t>BOTANICAL JOURNAL OF THE LINNEAN SOCIETY</t>
  </si>
  <si>
    <t>Symposium on Under the Microscope - Plant Anatomy and Systematics held in honour of David Cutler</t>
  </si>
  <si>
    <t>SEP 09-10, 1999</t>
  </si>
  <si>
    <t>LONDON, ENGLAND</t>
  </si>
  <si>
    <t>anatomy; Cretaceous; palaeobotany; Tertiary; xylem</t>
  </si>
  <si>
    <t>EASTERN NORTH-AMERICA; JAMES-ROSS-ISLAND; DICOTYLEDONOUS WOOD; ANATOMICAL CHARACTERS; ANTARCTIC PENINSULA; ALEXANDER-ISLAND; PLANT FOSSILS; LONDON CLAY; TERTIARY; EOCENE</t>
  </si>
  <si>
    <t>Fossil wood is subject to different taphonomic, sampling and recognition biases in the palaeobotanical record when compared with leaves and palynomorphs. Wood therefore provides a systematically independent source of information that can increase our knowledge of past biodiversity and environments. Increase in fossil wood records from Cretaceous and Tertiary sediments helps further the understanding of trends in anatomical specialization through geological time. These data can then be used to distinguish such specialization from anatomical response to environmental change. Two case studies, a Late Cretaceous-early Tertiary wood flora from Antarctica and a lower Tertiary wood flora from southern England, have been used to exemplify the importance of studying the fossil wood component of palaeofloras. (C) 2000 The Linnean Society of London.</t>
  </si>
  <si>
    <t>Univ Leeds, Sch Earth Sci, Leeds LS2 9JT, W Yorkshire, England</t>
  </si>
  <si>
    <t>University of Leeds</t>
  </si>
  <si>
    <t>Poole, I (corresponding author), Univ Utrecht, Fac Earth Sci, Organ Geochem Grp, POB 80021, NL-3508 TA Utrecht, Netherlands.</t>
  </si>
  <si>
    <t>0024-4074</t>
  </si>
  <si>
    <t>BOT J LINN SOC</t>
  </si>
  <si>
    <t>Bot. J. Linnean Soc.</t>
  </si>
  <si>
    <t>10.1006/bojl.2000.0377</t>
  </si>
  <si>
    <t>364DZ</t>
  </si>
  <si>
    <t>WOS:000089877900017</t>
  </si>
  <si>
    <t>Worland, MR; Convey, P; Lukesová, A</t>
  </si>
  <si>
    <t>Rapid cold hardening:: A gut feeling</t>
  </si>
  <si>
    <t>Antarctic; terrestrial algae; food selection; microclimate; springtail; cold tolerance; cyanobacteria; digestion; soil; differential scanning calorimetry</t>
  </si>
  <si>
    <t>TERRESTRIAL ARTHROPODS; ANTARCTIC MITE; HARDINESS; TOLERANCE; INSECTS; NUCLEATION; SURVIVAL; BEETLE; WINTER</t>
  </si>
  <si>
    <t>This study examined the rate of cold hardening of a field population of Antarctic springtails and the effect of eating food with particular levels of ice nucleating activity on the animal's whole body freezing point. The SCPs of samples of c. 20, freshly collected, Cryptopygus antarcticus were measured hourly over a 32 hour collection period using differential scanning calorimetry and related to habitat temperature. The mean SCP of the springtails increased from -24 to -10 degreesC during which time the habitat temperature warmed slowly from -2.5 to +2.5 degreesC. In laboratory experiments, previously starved, cold tolerant springtails were fed on selected species of algae with measured SCP's but there was no clear correlation between the SCP of food and that of the animals after feeding. Microscopic examination of faecal pellets and guts from springtails showed that algal cells were completely destroyed during digestion.</t>
  </si>
  <si>
    <t>British Antarctic Survey, NERC, Cambridge CB3 0ET, England; Acad Sci Czech Republ, Inst Soil Biol, CR-37005 Ceske Budejovice, Czech Republic</t>
  </si>
  <si>
    <t>Worland, MR (corresponding author), British Antarctic Survey, NERC, High Cross,Madingley Rd, Cambridge CB3 0ET, England.</t>
  </si>
  <si>
    <t>Convey, Peter/AAV-5728-2020; Lukešová, Alena/G-1451-2014</t>
  </si>
  <si>
    <t>Convey, Peter/0000-0001-8497-9903;</t>
  </si>
  <si>
    <t>368DE</t>
  </si>
  <si>
    <t>WOS:000090101800007</t>
  </si>
  <si>
    <t>Lancelot, C; Hannon, E; Becquevort, S; Veth, C; De Baar, HJW</t>
  </si>
  <si>
    <t>Modeling phytoplankton blooms and carbon export production in the Southern Ocean: dominant controls by light and iron in the Atlantic sector in Austral spring 1992</t>
  </si>
  <si>
    <t>MARGINAL ICE-ZONE; EQUATORIAL PACIFIC PHYTOPLANKTON; NET PRIMARY PRODUCTION; SUB-ARCTIC PACIFIC; WEDDELL SEA SECTOR; MARINE-PHYTOPLANKTON; ROSS SEA; ANTARCTIC PHYTOPLANKTON; ENRICHMENT EXPERIMENTS; UNICELLULAR ALGAE</t>
  </si>
  <si>
    <t>The high nutrient low chlorophyll (HNLC) conditions of the Southern Ocean were explored with an ecological model (SWAMCO) describing the cycling of C, N, P, Si and Fe through different, aggregated, chemical and biological compartments of the plankton ecosystem. The structure of the model was chosen to take explicitly into account biological processes of importance in the formation and mineralization of carbon biomass in surface waters and in carbon export production. State variables include major inorganic nutrients (NO3, NH4, PO4, SI(OH)(4)), dissolved Fe, two groups of phytoplankton (diatoms and nanoflagellates), bacteria, heterotrophic nanoflagellates, microzooplankton, labile DOC and two classes of dissolved and particulate organic polymers with specific biodegradability. The model is closed by export production of particulate organic matter out of the surface layer and, when relevant, by metazooplanton, the grazing pressure of which is described as a forcing function. Parameterization was derived from the current knowledge on the kinetics of biological processes in the Southern Ocean and in other 'HNLC' areas. For its application in the Atlantic sector in spring 1992, the SWAMCO model was coupled 'off-line' to a 1D physical model forced by in situ meteorological and sea-ice conditions. The predictions of the model were successfully compared with chemical and biological observations recorded in the Antarctic circumpolar current (ACC) during the 1992 cruise ANTX/6 of RV Polarstern. In particular, the model simulates quite well the diatom bloom and carbon export event observed in the iron-enriched Polar Frontal region and the lack of ice-edge phytoplankton blooms in the marginal zone (MIZ) of the ACC area. Model analysis shows that sufficient light and iron concentrations above 0.5 mu mol m(-3) are the necessary conditions for enhancing diatom blooms and particulate carbon export production in the Southern Ocean. Low iron availability prevents diatom growth but is still adequate for nanophytoplankton, the biomass of which is, however, kept to Chi a levels less than 1 mg(-3) due to the loss by the ubiquitous micrograzers. Little carbon export is predicted under iron-limitation conditions. Sensitivity tests conducted on the parameters describing iron and silicon uptake by diatoms reveal the complex nature of Fe and Si limitation in regulating the magnitude and extent of diatom blooms and carbon and opal export production in the Southern Ocean. (C) 2000 Elsevier Science Ltd. All rights reserved.</t>
  </si>
  <si>
    <t>Free Univ Brussels, B-1050 Brussels, Belgium; Netherlands Inst Sea Res, NL-1790 AB Den Burg, Texel, Netherlands</t>
  </si>
  <si>
    <t>Universite Libre de Bruxelles; Utrecht University; Royal Netherlands Institute for Sea Research (NIOZ)</t>
  </si>
  <si>
    <t>Free Univ Brussels, CP221,Bd Triomphe, B-1050 Brussels, Belgium.</t>
  </si>
  <si>
    <t>lancelot@ulb.ac.be</t>
  </si>
  <si>
    <t>10.1016/S0967-0637(00)00005-4</t>
  </si>
  <si>
    <t>320LN</t>
  </si>
  <si>
    <t>WOS:000087402800002</t>
  </si>
  <si>
    <t>Pakhomov, EA; Perissinotto, R; McQuaid, CD; Froneman, PW</t>
  </si>
  <si>
    <t>Zooplankton structure and grazing in the Atlantic sector of the Southern Ocean in late austral summer 1993 - Part 1. Ecological zonation</t>
  </si>
  <si>
    <t>Southern Ocean; zooplankton; abundance; biomass; spatial distribution; community structure</t>
  </si>
  <si>
    <t>PRINCE-EDWARD-ISLANDS; COMMUNITY STRUCTURE; MICROPHYTOPLANKTON ASSEMBLAGES; MESOZOOPLANKTON COMMUNITY; SUBTROPICAL CONVERGENCE; METAZOAN PLANKTON; WEDDELL SEA; IMPACT; MACROZOOPLANKTON; ANTARCTICA</t>
  </si>
  <si>
    <t>The composition, distribution, abundance, biomass and size structure of mesozooplankton, collected using Bongo nets in the top 300 m layer along a transect between the Antarctic continent and Cape Town, were investigated during the second South African Antarctic Marine Ecosystem Study (SAAMES II) in Jan.-Feb. 1993. Small (&lt;10 mm) and medium (20-50 mm) size groups of zooplankton consistently dominated across the Southern Ocean. The highest zooplankton densities were recorded at the Antarctic Polar Front (APF) and at the Subtropical Convergence (STC). Minor peaks in zooplankton densities were observed in the southern vicinity of the Subantarctic Front (SAF) and APF. Elevated zooplankton stocks were also found within the Marginal Ice Zone (MIZ) and the Polar Frontal Zone. The lowest densities were recorded in the permanently open zone (MIZ-APF) and in the Subantarctic zone (SAF-STC). Copepods were generally important along the entire transect and formed the bulk of zooplankton stock within the MIZ and in the Polar Frontal Zone (APF-SAF), accounting for at least 40-95% of total abundance and biomass. Euphausiids were also a prominent group along the transect. Their contribution was highest (up to 80% of total biomass) between the MIZ and the APF, mainly because of the occurrence of swarms of the Antarctic krill Euphausia superba. Tunicates, Pyrosoma sp. and Salpa fusiformis, were found in great numbers only in the region of the STC and further north, while Salpa thompsoni was abundant at the southern boundary of the APF. Chaetognaths dominated samples numerically and by mass in the Subantarctic Zone. Results obtained from cluster and ordination analyses show that zooplankton community structure was well correlated with the position of various biogeographical zones separated by the main frontal systems of the Southern Ocean. Two major groupings of stations, separated by the SAF, were identified in these analyses. This front separated the Antarctic and the subantarctic/subtropical assemblages, confirming its important role as a biogeographical boundary. (C) 2000 Elsevier Science Ltd. All rights reserved.</t>
  </si>
  <si>
    <t>Rhodes Univ, Dept Zool &amp; Entomol, So Ocean Grp, ZA-6140 Grahamstown, South Africa</t>
  </si>
  <si>
    <t>Rhodes University</t>
  </si>
  <si>
    <t>Rhodes Univ, Dept Zool &amp; Entomol, So Ocean Grp, POB 94, ZA-6140 Grahamstown, South Africa.</t>
  </si>
  <si>
    <t>e.pakhomov@ru.ac.za</t>
  </si>
  <si>
    <t>Froneman, William/GLS-0460-2022; McQuaid, Christopher/AAT-3725-2020; Froneman, William/C-9085-2012</t>
  </si>
  <si>
    <t>Froneman, William/0000-0003-0615-1355; McQuaid, Christopher/0000-0002-3473-8308;</t>
  </si>
  <si>
    <t>10.1016/S0967-0637(99)00122-3</t>
  </si>
  <si>
    <t>WOS:000087402800003</t>
  </si>
  <si>
    <t>Froneman, PW; Pakhomov, EA; Perissinotto, R; McQuaid, CD</t>
  </si>
  <si>
    <t>Zooplankton structure and grazing in the Atlantic sector of the Southern Ocean in late austral summer 1993 - Part 2. Biochemical zonation</t>
  </si>
  <si>
    <t>zooplankton grazing; biochemical zonation</t>
  </si>
  <si>
    <t>MARGINAL ICE-ZONE; KRILL EUPHAUSIA-SUPERBA; WEDDELL SEA; ANTARCTIC KRILL; MESOZOOPLANKTON COMMUNITY; SUBTROPICAL CONVERGENCE; DAILY RATION; LAZAREV SEA; POLAR FRONT; PHYTOPLANKTON</t>
  </si>
  <si>
    <t>The composition, biomass, distribution and grazing impact of dominant components of the meso- and macrozooplankton community were investigated along a transect occupied in the Atlantic sector of the Southern Ocean during the second cruise of the South African Antarctic Ecosystem Study conducted in late austral summer (Jan.-Feb.) 1993. Total zooplankton abundance along the transect ranged from 6 to 161 ind. m(-3), and biomass levels ranged from 4. 2 to 80.5 mg DWt m(-3). Elevated abundances and biomass were recorded at stations occupied in the vicinity of the Marginal Ice Zone (MIZ), the Antarctic Polar Front (APF) and Subantarctic Front (SAF). Throughout the investigation mesozooplankton, comprising mainly copepods, dominated numerically and by biomass accounting for &gt; 80% of the total. South of the APF, the copepods Calanus propinquus, Calanoides acutus and Metridia gerlachei numerically dominated zooplankton counts, while north of the front the zooplankton community was dominated by the copepods Calanus simillimus, Rhincalanus gigas and Lucicutia ovalis. Grazing impact of the six most abundant zooplankton taxa, accounting for up to 90% of all zooplankton counted at each station, demonstrated large spatial variability ranging from 0.01 to 18% of the chlorophyll (chl-n) standing stock or up to 89% of the daily phytoplankton production (DPP). The highest grazing impact along the transect was recorded within the Polar Front Zone where zooplankton removed between 4 and 18% of the chl-a standing stock or between 53 and 89% of DPP daily. Outside this region, zooplankton grazing generally corresponded to &lt; 5% of the integrated chl-a or &lt; 20% of the daily DPP. The implications of the spatial differences in grazing impact on the efficiency of the biological pump are discussed. (C) 2000 Elsevier Science Ltd. All rights reserved.</t>
  </si>
  <si>
    <t>Rhodes Univ, Dept Zool &amp; Entomol, So Ocean Grp, ZA-6140 Grahamstown, South Africa; Univ KwaZulu Natal, Marine Sci Unit, ZA-4000 Durban, South Africa</t>
  </si>
  <si>
    <t>Rhodes University; University of Kwazulu Natal</t>
  </si>
  <si>
    <t>zopf@warthog.ru.ac.za</t>
  </si>
  <si>
    <t>Froneman, William/C-9085-2012; McQuaid, Christopher/AAT-3725-2020; Froneman, William/GLS-0460-2022</t>
  </si>
  <si>
    <t>McQuaid, Christopher/0000-0002-3473-8308; Froneman, William/0000-0003-0615-1355</t>
  </si>
  <si>
    <t>10.1016/S0967-0637(99)00121-1</t>
  </si>
  <si>
    <t>WOS:000087402800004</t>
  </si>
  <si>
    <t>Laturnus, F; Giese, B; Wiencke, C; Adams, FC</t>
  </si>
  <si>
    <t>Low-molecular-weight organoiodine and organobromine compounds released by polar macroalgae - The influence of abiotic factors</t>
  </si>
  <si>
    <t>ANTARCTIC MACROALGAE; VOLATILE HALOCARBONS; BIOSYNTHESIS; OZONE; BROMOPEROXIDASE; HYDROCARBONS; RHODOPHYTA; GROWTH; ALGAE</t>
  </si>
  <si>
    <t>The influence of temperature, light, salinity and nutrient availability on the release of volatile halogenated hydrocarbons was investigated in the Antarctic red macroalgal species Gymnogongrus antarcticus Skottsberg. Compared to standard culture condition, an increase in the release rates of iodocompounds was generally found for the exposure of the alga to altered environmental conditions. Macroalgae exhibited higher release rates after adaptation for two months to the changed factors, than after short-term exposure. Monitoring the release rates during a 24 h incubation period (8.25 h light, 15.75 h darkness) showed that changes between light and dark periods had no influence on the release of volatile halocarbons. Compounds like bromoform and 1-iodobutane exhibited constant release rates during the 24 h period. The formation mechanisms and biological role of volatile organohalogens are discussed. Although marine macroalgae are not considered to be the major source of biogenically-produced volatile organohalogens, they contribute significantly to the bromine and iodine cycles in the environment. Under possible environmental changes like global warming and uncontrolled entrophication of the oceans their significance may be increase.</t>
  </si>
  <si>
    <t>Univ Antwerp, UIA, Dept Chem, B-2610 Antwerp, Belgium; Alfred Wegener Inst Polar &amp; Marine Res, D-27568 Bremerhaven, Germany</t>
  </si>
  <si>
    <t>University of Antwerp; Helmholtz Association; Alfred Wegener Institute, Helmholtz Centre for Polar &amp; Marine Research</t>
  </si>
  <si>
    <t>Laturnus, F (corresponding author), Riso Natl Lab, Dept Plant Biol &amp; Biogeochem, PBK-124,POB 49, DK-4000 Roskilde, Denmark.</t>
  </si>
  <si>
    <t>frank.laturnus@risoe.dk</t>
  </si>
  <si>
    <t>10.1007/s002160000491</t>
  </si>
  <si>
    <t>357QB</t>
  </si>
  <si>
    <t>WOS:000089511400029</t>
  </si>
  <si>
    <t>Poli, MS; Thunell, RC; Rio, D</t>
  </si>
  <si>
    <t>Millennial-scale changes in North Atlantic Deep Water circulation during marine isotope stages 11 and 12: Linkage to Antarctic climate</t>
  </si>
  <si>
    <t>paleoclimatology; thermohaline circulation; stable isotopes</t>
  </si>
  <si>
    <t>THERMOHALINE CIRCULATION; TERMINATION-II; GLACIAL CYCLES; GREENLAND ICE; PAST; OCEAN; RECORDS; EVENTS; CORE; SEDIMENTS</t>
  </si>
  <si>
    <t>The time interval represented by marine isotope stages (MIS) 11 and 12 (ca. 360-470 ka) may contain the most extreme glacial and interglacial climate conditions of the late Pleistocene. Sediments from the Bermuda Rise (western North Atlantic) provide clues to the nature of climate variability during this period. Our geochemical records indicate that millennial-scale climate instability and associated changes in North Atlantic Deep Water (NADW) production occurred during both interglacial MIS 11 and glacial MIS 12, Stage 12 is punctuated by a series of interstadial events that occurred at a 5-6 k.y. periodicity, and the occurrence of ice-rafted debris at various times during stage 12 indicates that icebergs were present at least as far south as 34 degrees N during this glacial period. Within the limits of our correlation, the atmospheric temperature changes recently reported for the Vostok ice core for the stage 11 time period appear to be represented by coeval changes in NADW flow. Specifically, warming in Antarctica is associated with increased production of NADW.</t>
  </si>
  <si>
    <t>Eastern Michigan Univ, Dept Geog &amp; Geol, Ypsilanti, MI 48197 USA; Univ S Carolina, Dept Geol Sci, Columbia, SC 29208 USA; Univ Padua, Dipartimento Geol Paleontol &amp; Geofis, I-37137 Padua, Italy</t>
  </si>
  <si>
    <t>Eastern Michigan University; University of South Carolina System; University of South Carolina Columbia; University of Padua</t>
  </si>
  <si>
    <t>Poli, MS (corresponding author), Eastern Michigan Univ, Dept Geog &amp; Geol, Ypsilanti, MI 48197 USA.</t>
  </si>
  <si>
    <t>Poli, Maria-Serena/0000-0001-6470-032X</t>
  </si>
  <si>
    <t>10.1130/0091-7613(2000)028&lt;0807:MSCINA&gt;2.3.CO;2</t>
  </si>
  <si>
    <t>353HQ</t>
  </si>
  <si>
    <t>WOS:000089269100010</t>
  </si>
  <si>
    <t>Uvarov, VM</t>
  </si>
  <si>
    <t>Structural features of the daytime polar ionosphere</t>
  </si>
  <si>
    <t>THERMOSPHERIC MODEL</t>
  </si>
  <si>
    <t>In the known empirical electron density distributions in the winter polar ionosphere of the Northern Hemisphere, attention has been paid to the marked effect of deformation in [e](max)F2 isolines in the daytime most illuminated region, when medium solar activity changes to high activity. A series of calculations, performed on the basis of the numerical model of the polar ionosphere for F-10.7 = 220, 150, and 70, has made it possible to establish that relatively high values of F-10.7 and extremely low values of K-p are the most favorable factors for the indicated deformation. A definite tendency was revealed in the variation of the plasma hole position with changing solar activity level. The fine structure of the ionization tongue has been established. Using the neutral atmosphere model MSIS-86 under high solar activity conditions (at F-10.7 = 220) results in calculated [e](max)F2 values in the polar ionosphere being lower than the empirical values by a factor of 1.5. The cause of this discrepancy is indicated.</t>
  </si>
  <si>
    <t>Uvarov, VM (corresponding author), Arctic &amp; Antarctic Res Inst, Ul Beringa 38, St Petersburg 199226, Russia.</t>
  </si>
  <si>
    <t>Uvarov, Viacheslav/AAI-9003-2021</t>
  </si>
  <si>
    <t>381FN</t>
  </si>
  <si>
    <t>WOS:000165751800006</t>
  </si>
  <si>
    <t>Rosier, SM; Shine, KP</t>
  </si>
  <si>
    <t>The effect of two decades of ozone change on stratospheric temperature as indicated by a general circulation model</t>
  </si>
  <si>
    <t>HOLE; DEPLETION</t>
  </si>
  <si>
    <t>The effect on stratospheric temperatures of ozone change since 1979 is investigated using a general circulation model employing observations of the vertical profile of ozone change. The stratopause region is generally cooler in 1997 than in 1979 by about 2K. Results from a 'Seasonally Evolving Fixed Dynamical Heating' simulation indicate that this cooling is mostly radiative in origin. In Antarctica the model indicates statistically significant cooling of the lower stratosphere between 1979 and 1997, peaking at 13 K in November; this agrees quite well with observations. In the Arctic no significant cooling is seen in winter or early spring, in contrast with observations, indicating that ozone loss is not the main cause of the observed temperature change here. The peak Antarctic cooling is accompanied by a warming of the upper stratosphere; dynamics are responsible for this warming and for making the lower stratospheric cooling less severe than it would otherwise be.</t>
  </si>
  <si>
    <t>Rosier, SM (corresponding author), Univ Reading, Dept Meteorol, Reading RG6 6BB, Berks, England.</t>
  </si>
  <si>
    <t>s.m.rosier@reading.ac.uk; k.p.shine@reading.ac.uk</t>
  </si>
  <si>
    <t>Shine, Keith/D-9093-2012</t>
  </si>
  <si>
    <t>Shine, Keith/0000-0003-2672-9978</t>
  </si>
  <si>
    <t>SEP 1</t>
  </si>
  <si>
    <t>10.1029/2000GL011584</t>
  </si>
  <si>
    <t>353BW</t>
  </si>
  <si>
    <t>WOS:000089254700008</t>
  </si>
  <si>
    <t>Mulvaney, R; Röthlisberger, R; Wolff, EW; Sommer, S; Schwander, J; Hutteli, MA; Jouzel, J</t>
  </si>
  <si>
    <t>The transition from the last glacial period in inland and near-coastal Antarctica</t>
  </si>
  <si>
    <t>CLIMATIC RECORD; ICE; DUST; DEGLACIATION; VOSTOK; GISP2; DOME; CORE</t>
  </si>
  <si>
    <t>Recent studies suggested that, during the transition out of the last glacial period, one near-coastal site in Antarctica showed a response similar to that of Greenland, and unlike that of central Antarctica. Here, we present a new high-resolution record of calcium from Dome C, Antarctica. Changes in flux of calcium, an indicator of dust input from other continents, should be synchronous across the region and probably the continent. Using Ca to synchronise records, we find that the main warming at the near-coastal site of Taylor Dome was slower than suggested previously, and similar to that of central Antarctica. Until there is further evidence, it is still a reasonable hypothesis that Antarctic climate behaved more or less as a single unit during the transition.</t>
  </si>
  <si>
    <t>British Antarctic Survey, NERC, Cambridge CB3 0ET, England; Univ Bern, Inst Phys, CH-3012 Bern, Switzerland; CEA, CNRS, Lab Sci Climat &amp; Environm, UMR 1572, F-91191 Gif Sur Yvette, France</t>
  </si>
  <si>
    <t>UK Research &amp; Innovation (UKRI); Natural Environment Research Council (NERC); NERC British Antarctic Survey; University of Bern; Universite Paris Saclay; CEA; Centre National de la Recherche Scientifique (CNRS)</t>
  </si>
  <si>
    <t>Mulvaney, R (corresponding author), British Antarctic Survey, NERC, Madingley Rd, Cambridge CB3 0ET, England.</t>
  </si>
  <si>
    <t>Wolff, Eric W/D-7925-2014; Mulvaney, Robert/K-3929-2012</t>
  </si>
  <si>
    <t>Wolff, Eric W/0000-0002-5914-8531; Mulvaney, Robert/0000-0002-5372-8148</t>
  </si>
  <si>
    <t>10.1029/1999GL011254</t>
  </si>
  <si>
    <t>Bronze, Green Published</t>
  </si>
  <si>
    <t>WOS:000089254700022</t>
  </si>
  <si>
    <t>Delaygue, G; Jouzel, J; Masson, V; Koster, RD; Bard, E</t>
  </si>
  <si>
    <t>Validity of the isotopic thermometer in central Antarctica: limited impact of glacial precipitation seasonality and moisture origin.</t>
  </si>
  <si>
    <t>ICE CORE; GCM ANALYSIS; CLIMATE; TEMPERATURE; GREENLAND; PALEOTHERMOMETER; PROFILES; MODELS</t>
  </si>
  <si>
    <t>The classical interpretation of water stable isotopes (deuterium or oxygen Is) retrieved from ice cores into past local temperature relies on the use of the spatial isotope/temperature slope as a surrogate of the temporal slope. Whereas this assumption has been challenged by independent methods in central Greenland, it is still considered as valid in central Antarctica. We use an atmospheric General Circulation Model (GCM) to study two parameters highlighted by previous studies as being among the most important with respect to this assumption. We show that in the GCM, between present-day and Last Glacial Maximum, the change in precipitation seasonality and the cooling of the moisture sources have limited and opposite effects on the isotopic record of the Antarctic local temperature. This conclusion strengthens the validity of the classical interpretation of isotope records in central Antarctica.</t>
  </si>
  <si>
    <t>CEA Saclay, LSCE, F-91191 Gif Sur Yvette, France; NASA, Goddard Space Flight Ctr, Hydrol Sci Branch, Lab Hydrospher Proc, Greenbelt, MD 20771 USA; CEREGE, F-13545 Aix En Provence 4, France</t>
  </si>
  <si>
    <t>Universite Paris Saclay; CEA; Centre National de la Recherche Scientifique (CNRS); National Aeronautics &amp; Space Administration (NASA); NASA Goddard Space Flight Center; Aix-Marseille Universite</t>
  </si>
  <si>
    <t>CEA Saclay, LSCE, Bat 709, F-91191 Gif Sur Yvette, France.</t>
  </si>
  <si>
    <t>delayguc@cerege.fr</t>
  </si>
  <si>
    <t>Masson-Delmotte, Valerie L/G-1995-2011; Bard, Edouard/G-7717-2014; Koster, Randal D/F-5881-2012</t>
  </si>
  <si>
    <t>Masson-Delmotte, Valerie L/0000-0001-8296-381X; Koster, Randal D/0000-0001-6418-6383</t>
  </si>
  <si>
    <t>10.1029/2000GL011530</t>
  </si>
  <si>
    <t>WOS:000089254700023</t>
  </si>
  <si>
    <t>Smith, WO; Asper, VA</t>
  </si>
  <si>
    <t>A balanced nitrogen budget of the surface layer of the southern Ross Sea, Antarctica</t>
  </si>
  <si>
    <t>ORGANIC-CARBON; EXPORT FLUX; OCEAN; RESPIRATION; POLYNYA; WATERS; SUMMER; RATES</t>
  </si>
  <si>
    <t>To understand marine biogeochemical cycles, it is critical to quantitatively balance organic matter transformations within the euphotic zone. Such an assessment for nitrogen is difficult because of lateral advection, uncertainties in individual measurements, the complexity of elemental transformations (including nitrification and denitrification), and the difficulty of collecting data on appropriate space and time scales. Two cruises were conducted to the southern Ross Sea, Antarctica, to understand the time-varying fluxes of nitrogen into its various pools. From these data a balanced inventory was constructed. Nitrate removal in the upper 200 m was balanced by particulate and dissolved organic nitrogen production, ammonification, and vertical flux. In austral spring nearly all (92%) of the new production remained as particulate nitrogen, but this percentage decreased markedly (52%) by mid-summer, when nitrogen regeneration, PN flux, and DON production were 23, 13 and 12% of net production, respectively. The organic matter budget in this coastal Antarctic site is dominated by particle transformations.</t>
  </si>
  <si>
    <t>Virginia Inst Marine Sci, Coll William &amp; Mary, Gloucester Point, VA 23062 USA; Univ So Mississippi, Inst Marine Sci, Stennis Space Ctr, MS USA</t>
  </si>
  <si>
    <t>Smith, WO (corresponding author), Virginia Inst Marine Sci, Coll William &amp; Mary, Gloucester Point, VA 23062 USA.</t>
  </si>
  <si>
    <t>10.1029/1999GL011034</t>
  </si>
  <si>
    <t>WOS:000089254700034</t>
  </si>
  <si>
    <t>Hendricks, MB; DePaolo, DJ; Cohen, RC</t>
  </si>
  <si>
    <t>Space and time variation of δ18O and δD in precipitation:: Can paleotemperatnre be estimated from ice cores?</t>
  </si>
  <si>
    <t>GENERAL-CIRCULATION MODEL; ANTARCTIC PENINSULA CLIMATE; ATMOSPHERIC CARBON-DIOXIDE; EDDY DIFFUSION-MODEL; LAST GLACIAL MAXIMUM; YOUNGER DRYAS; WATER-VAPOR; TEMPERATURE INVERSION; SURFACE TEMPERATURE; STABLE ISOTOPES</t>
  </si>
  <si>
    <t>A one-dimensional model of meridional water vapor transport is used to evaluate the factors that control the spatial and temporal variations of oxygen (delta(18)O) and hydrogen (delta D) isotopic ratios in global precipitation. The model extends Rayleigh descriptions of isotopes in precipitation by including (1) effects of recharge to air masses by evaporation and (2) horizontal transport by both eddy fluxes and advection. Globally, spatial variations in precipitation delta(18)O and delta D depend on the ratio of evaporation to the product of horizontal moisture flux and horizontal temperature gradient. At low latitudes, where this ratio is large, precipitation delta(18)O and delta D are closely tied to the isotopic ratios of oceanic evaporation. At high latitudes the ratio is small, and delta(18)O and delta D are controlled by the ratio of advective transport to eddy transport. Transport by eddy fluxes induces less fractionation than transport by advection, resulting in a smaller gradient of isotopic ratios with temperature. The model-predicted temporal relationships between delta(18)O (or delta D) ofantarctic precipitation and temperature do not necessarily coincide with the modern spatial relationship and depend strongly on the proximity of the precipitation site to the ocean evaporation source. Sensitivity of delta(18)O to temporal changes in local surface temperature is low at coastal sites and increases with distance inland. These results suggest a possible explanation of the apparent discrepancy between borehole temperature inversion estimates of glacial temperatures and temperatures inferred from the modern spatial delta(18)O - surface temperature relationship.</t>
  </si>
  <si>
    <t>Univ Calif Berkeley, Dept Chem, Berkeley Ctr Isotope Geochem, Earth Sci Div,Lawrence Berkeley Natl Lab, Berkeley, CA 94720 USA; Univ Calif Berkeley, Dept Geol &amp; Geophys, Berkeley Ctr Isotope Geochem, Earth Sci Div,Lawrence Berkeley Natl Lab, Berkeley, CA 94720 USA</t>
  </si>
  <si>
    <t>United States Department of Energy (DOE); Lawrence Berkeley National Laboratory; University of California System; University of California Berkeley; University of California System; University of California Berkeley; United States Department of Energy (DOE); Lawrence Berkeley National Laboratory</t>
  </si>
  <si>
    <t>Princeton Univ, Dept Geosci, Guyot Hall, Princeton, NJ 08544 USA.</t>
  </si>
  <si>
    <t>mhendric@princeton.edu; depaola@socrates.berkeley.edu; cohen@cchem.berkeley.edu</t>
  </si>
  <si>
    <t>DePaolo, Donald James/ISU-7105-2023; Cohen, Ronald C/A-8842-2011</t>
  </si>
  <si>
    <t>Cohen, Ronald C/0000-0001-6617-7691</t>
  </si>
  <si>
    <t>1944-9224</t>
  </si>
  <si>
    <t>10.1029/1999GB001198</t>
  </si>
  <si>
    <t>350EZ</t>
  </si>
  <si>
    <t>WOS:000089089000010</t>
  </si>
  <si>
    <t>Thomas, E; Turekian, KK; Wei, KY</t>
  </si>
  <si>
    <t>Productivity control of fine particle transport to equatorial Pacific sediment</t>
  </si>
  <si>
    <t>GLACIAL-INTERGLACIAL CHANGES; EXTRATERRESTRIAL HE-3; DIMETHYLSULFIDE DMS; PARTICULATE MATTER; SURFACE OCEAN; SEA-ICE; RECORD; CLIMATE; CARBON; CO2</t>
  </si>
  <si>
    <t>Accumulation rates of He-3 (from cosmic dust), Th-230 (produced in the water column), barite (produced in the water column during decay of organic matter), and Fe and Ti (arriving with wind-borne dust) all are positively correlated in an equatorial Pacific core (TT013-PC72; 01.1 degrees N, 139.4 degrees W; water depth 4298 m). These accumulation rates are also positively correlated with the accumulation rates of noncarbonate material. They are not significantly correlated to the mass accumulation rate of carbonate, which makes up the bulk of the sediment. The fluctuations in accumulation rates of these various components from different sources thus must result from variations in some process within the oceans and not from variations in their original sources. Sediment focusing by oceanic bottom currents has been proposed as this process [Marcantonio et al., 1996]. We argue that the variations in the accumulation rates of all these components are dominantly linked to changes in productivity and particle scavenging (He-3, Th-230, Fe, Ti) by fresh phytoplankton detritus (which delivers Ba upon its decay) in the equatorial Pacific upwelling region. We speculate that as equatorial Pacific productivity is a major component of global oceanic productivity, its variations over time might be reflected in variations in atmospheric levels of methanesulfonic acid (an atmospheric reaction product of dimethyl sulfide, which is produced by oceanic phytoplankton) and recorded in Antarctic ice cores.</t>
  </si>
  <si>
    <t>Yale Univ, Dept Geol &amp; Geophys, Ctr Study Global Change, New Haven, CT 06520 USA; Natl Taiwan Univ, Dept Geol, Taipei 10617, Taiwan; Wesleyan Univ, Dept Earth &amp; Environm Sci, Middletown, CT USA</t>
  </si>
  <si>
    <t>Yale University; National Taiwan University; Wesleyan University</t>
  </si>
  <si>
    <t>Yale Univ, Dept Geol &amp; Geophys, Ctr Study Global Change, POB 208109, New Haven, CT 06520 USA.</t>
  </si>
  <si>
    <t>ethomas@wesleyan.edu</t>
  </si>
  <si>
    <t>Thomas, Ellen/JVO-1734-2024; Wei, Kuo-Yen/Q-5138-2018</t>
  </si>
  <si>
    <t>Thomas, Ellen/0000-0002-7141-9904; WEI, KUO-YEN/0000-0002-2725-5762</t>
  </si>
  <si>
    <t>10.1029/1998GB001102</t>
  </si>
  <si>
    <t>WOS:000089089000017</t>
  </si>
  <si>
    <t>Louanchi, F; Najjar, RG</t>
  </si>
  <si>
    <t>A global monthly climatology of phosphate, nitrate, and silicate in the upper ocean: Spring-summer export production and shallow remineralization</t>
  </si>
  <si>
    <t>NET COMMUNITY PRODUCTION; ANTARCTIC OCEAN; WORLD OCEAN; SOUTHERN-OCEAN; SARGASSO SEA; DISSOLVED-OXYGEN; INDIAN SECTOR; IRON; WATERS; NUTRIENTS</t>
  </si>
  <si>
    <t>We have created monthly climatologies of nutrients in the upper 500 m of the ocean using the 1998 release of the World Ocean Atlas from the Ocean Climate Laboratory at the National Oceanographic Data Center. The data processing is similar to that used by Najjar and Keeling [1997] to create an oxygen climatology. The spatial extrapolation of the nutrients exploits regional relationships between nutrients and temperature in the ocean. The annual mean horizontal and vertical distributions of the nutrients follow the large scale patterns of oceanic circulation as previously reported in the literature. Surface seasonal variations of nutrients are high in the high latitudes and some restricted upwelling areas, whereas in the subtropical oligotrophic gyres nutrients are low all year. Surface seasonal variations are characterized by high values in winter and low values in summer, consistent with the dominance of entrainment during the winter and biological production during the summer. Good agreement is found between the climatologies and the limited reports of seasonal nutrient variations in the literature. Weaker seasonal variations of opposite phasing are found below roughly 100 m and likely reflect the dominance of remineralization during the summer and ventilation during the winter. Spring-summer export production derived from the seasonal nutrient drawdown in the upper 100 m is 4.2+/-0.6 Tmol P, 59+/-8 Tmol N, and 70+/-15 Tmol Si. The N:P drawdown ratio is, within the error, in agreement with the traditional value of 16. Similarly, the Si:N drawdown ratio is in agreement with the value of 1 expected for diatom growth in unstressed conditions. The export of organic carbon estimated from the phosphate drawdown is 5.3+/-0.8 Gt C. The shallow remineralization inferred from seasonal phosphate variation between 100 and 200 m is 2.6+/-1.1 Gt C. The carbon and silica fluxes, considering that they are lower bounds on global export production because they do not capture the production signal in advectively dominated systems, are in reasonable agreement with other large scale estimates of organic carbon and silica export. The computed f ratio (using satellite-based estimates of primary production) and the ratio of shallow aphotic zone remineralization to new production tend to increase with increasing latitude, supporting an increase in respiration with temperature, as suggested in recent studies.</t>
  </si>
  <si>
    <t>Penn State Univ, Dept Meteorol, University Pk, PA 16802 USA</t>
  </si>
  <si>
    <t>Louanchi, F (corresponding author), Penn State Univ, Dept Meteorol, 503 Walker Bldg, University Pk, PA 16802 USA.</t>
  </si>
  <si>
    <t>10.1029/1999GB001215</t>
  </si>
  <si>
    <t>WOS:000089089000018</t>
  </si>
  <si>
    <t>Tchesunov, AV</t>
  </si>
  <si>
    <t>Several new and known species from the families Coninckiidae and Comesomatidae (Nematoda) in the White Sea</t>
  </si>
  <si>
    <t>Nematoda; Coninckiidae; Comesomatidae; White Sea; taxonomy; descriptions</t>
  </si>
  <si>
    <t>MARINE</t>
  </si>
  <si>
    <t>Ten new and known species of the genera Coninckia, Cervonema, Laimella and Sabatieria are described from the White Sea. Coninckia macroseta sp. n. resembles C. seta Wieser et Hopper, 1967 (Florida coast of U.S.A.) in shape of the amphid and other characters, but differs from the latter by greater body length (2399 mum versus 1300-1400 mum) and by the a-index (83 versus and a 57-58). Cervonema proximamphidum sp. n. differs from all other species of Cervonema by the shape of posterior widening of the pharynx (except for C. allometricum Wieser, 1954 whose original description is too brief). The pharynx of the new species forms posteriorly a conical widening with vague radial striation, whereas the pharynx of other Cervonema species presents posteriorly an oval or elongate thickening with wavy contour and distinct muscular transversal striation. The other diagnostic characters of Cervonema proximamphidum sp. n. are close position of the amphid to the anterior end (distance from the anterior end to the amphid 6-7.5 mum), longer outer labial and cephalic setae (5-5.5 mum), relatively longer and slender body (respectively, 1423-1563 mum and a=30.9-41.1). Specimens Cervonema minutus Muthumbi, Soetaert et Vincx, 1997 largely agree with the original description of Muthumbi et al. (1997) based on the nematodes sampled in the Indian Ocean deep sea; only cephalic setae length (2.7-3.5 versus 2 mum) differ. The White Sea specimens Laimella filipjevi coincide well with the description of Jensen (1979) made on nematodes from the western Baltic Sea, except slight difference in body length (1564-1837 mum versus 1086-1152 mum). Sabatieria kolaensis (Ssaweljev, 1912) is redescribed and restored as valid species. Sabatieria kolaensis was assigned by Platt (1985) to the list of dubious species because of very brief original description lacking some important details. Sabatieria kolaensis belongs to the S. praedatrix species group and is characterized by the greatest number of preanal supplements (31-40). Sabatieria lawsi Platt, 1983 was previously known from the only Antarctic Peninsula shelf; the single White Sea male specimen corresponds well to the original diagnosis of Platt (1983). Sabatieria lawsi is considered to be very close or near identical to S. praedatrix de Man, 1907. The species Sabatieria longispinosa Lorenzen, 1972, S. ornata (Ditlevsen, 1918), S. pulchra (G. Schneider, 1906) and S. strigosa Lorenzen, 1972 are also described and discussed.</t>
  </si>
  <si>
    <t>Moscow MV Lomonosov State Univ, Dept Invertebrate Zool, Fac Biol, Moscow 119899, Russia</t>
  </si>
  <si>
    <t>Tchesunov, AV (corresponding author), Moscow MV Lomonosov State Univ, Dept Invertebrate Zool, Fac Biol, Moscow 119899, Russia.</t>
  </si>
  <si>
    <t>10.1023/A:1004070919109</t>
  </si>
  <si>
    <t>372VB</t>
  </si>
  <si>
    <t>WOS:000165253800005</t>
  </si>
  <si>
    <t>Miao, JG; Johnsen, KP; Kern, S; Heygster, G; Kunzi, K</t>
  </si>
  <si>
    <t>Signature of clouds over Antarctic sea ice detected by the special sensor microwave/imager</t>
  </si>
  <si>
    <t>IEEE TRANSACTIONS ON GEOSCIENCE AND REMOTE SENSING</t>
  </si>
  <si>
    <t>International Geoscience and Remote Sensing Symposium (IGARSS 99)</t>
  </si>
  <si>
    <t>JUN 28-JUL 02, 1999</t>
  </si>
  <si>
    <t>HAMBURG, GERMANY</t>
  </si>
  <si>
    <t>microwave radiometry; polar meteorology; remote sensing of clouds; sea ice</t>
  </si>
  <si>
    <t>INFRARED SATELLITE MEASUREMENTS; ATMOSPHERIC WATER-VAPOR; WINTER SNOW COVER; LIQUID WATER; WEDDELL SEA; MARINE-ENVIRONMENT; SSM/I OBSERVATIONS; IMAGER SSM/I; LAND; RETRIEVAL</t>
  </si>
  <si>
    <t>A method to detect the cloud signature (mainly the cloud liquid water) over the sea ice-covered Weddell Sea in the Austral summer season is presented. By using the polarization differences at the two high frequency channels (i.e., 37 and 85 GHz) of the special sensor microwave/imager (SSM/I), a new quantity called R-factor is defined. Using the R-factor, the atmospheric signal can be easily separated from the surface signal and, more importantly, the surface signal and its variation can be strongly suppressed, especially in regions with low ice concentrations. In regions with high ice concentrations, other sea ice parameters like snow cover play an important role as indicated by simulations using in situ measured sea ice emissivities and observed by the SSM/I, Under the assumption that the sea ice parameters remain sufficiently stable within a short period (e.g., ten days), a method is proposed to determine the background term from SSM/I measurements, allowing the detection of the cloud signature. A comparison with a known SSM/I cloud liquid water algorithm over the open ocean shows a high degree of correlation (0.958) among the cloud signatures detected by the two algorithms. On January 2 and 3, 1996, a low pressure system moved into the sea ice-covered Weddell Sea. Its cloud signature detected using the R-factor method compares well with coincident observations from both visible and infrared sensors.</t>
  </si>
  <si>
    <t>Univ Bremen, Inst Environm Phys, Bremen, Germany</t>
  </si>
  <si>
    <t>Univ Bremen, Inst Environm Phys, Bremen, Germany.</t>
  </si>
  <si>
    <t>Heygster, Georg C./B-4928-2014</t>
  </si>
  <si>
    <t>Heygster, Georg/0000-0003-2232-7429; Kern, Stefan/0000-0001-7281-3746</t>
  </si>
  <si>
    <t>IEEE-INST ELECTRICAL ELECTRONICS ENGINEERS INC</t>
  </si>
  <si>
    <t>PISCATAWAY</t>
  </si>
  <si>
    <t>445 HOES LANE, PISCATAWAY, NJ 08855-4141 USA</t>
  </si>
  <si>
    <t>0196-2892</t>
  </si>
  <si>
    <t>1558-0644</t>
  </si>
  <si>
    <t>IEEE T GEOSCI REMOTE</t>
  </si>
  <si>
    <t>IEEE Trans. Geosci. Remote Sensing</t>
  </si>
  <si>
    <t>10.1109/36.868890</t>
  </si>
  <si>
    <t>Geochemistry &amp; Geophysics; Engineering, Electrical &amp; Electronic; Remote Sensing; Imaging Science &amp; Photographic Technology</t>
  </si>
  <si>
    <t>Geochemistry &amp; Geophysics; Engineering; Remote Sensing; Imaging Science &amp; Photographic Technology</t>
  </si>
  <si>
    <t>357PP</t>
  </si>
  <si>
    <t>WOS:000089510300025</t>
  </si>
  <si>
    <t>Logan, NA; Lebbe, L; Hoste, B; Goris, J; Forsyth, G; Heyndrickx, M; Murray, BL; Syme, N; Wynn-Williams, DD; De Vos, P</t>
  </si>
  <si>
    <t>Aerobic endospore-forming bacteria from geothermal environments in northern Victoria Land, Antarctica, and Candlemas Island, South Sandwich archipelago, with the proposal of Bacillus fumarioli sp nov.</t>
  </si>
  <si>
    <t>INTERNATIONAL JOURNAL OF SYSTEMATIC AND EVOLUTIONARY MICROBIOLOGY</t>
  </si>
  <si>
    <t>Bacillus; Bacillus fumarioli; Antarctica; geothermal soils; thermoacidophile</t>
  </si>
  <si>
    <t>DEOXYRIBONUCLEIC-ACID; THERMOPHILIC BACILLI; EMENDED DESCRIPTION; DNA HYBRIDIZATION; MOUNT-RITTMANN; STRAINS; FUMAROLES; MELBOURNE; HYDROGEN; GENUS</t>
  </si>
  <si>
    <t>Aerobic endospore-forming bacteria were isolated from soils taken from active fumaroles on Mount Rittmann and Mount Melbourne in northern Victoria Land, Antarctica, and from active and inactive fumaroles on Candlemas Island, South Sandwich archipelago. The Mt Rittmann and Mt Melbourne soils yielded a dominant, moderately thermophilic and acidophilic, aerobic endosporeformer growing at ph 5.5 and 50 degrees C, and further strains of the same organism were isolated from a cold, dead fumarole at Clinker Gulch, Candlemas Island. Amplified rDNA restriction analysis, SDS-PAGE and routine phenotypic tests show that the Candlemas Island isolates are not distinguishable from the Mt Rittmann strains, although the two sites are 5600 km apart, and 16S rDNA sequence comparisons and DNA relatedness data support the proposal of a new species. Bacillus fumarioli. the type strain of which is LMG 17489(T).</t>
  </si>
  <si>
    <t>Glasgow Caledonian Univ, Sch Biol &amp; Biomed Sci, Glasgow G4 0BA, Lanark, Scotland; State Univ Ghent, Microbiol Lab, Vakgrp BFM WE10V, B-9000 Ghent, Belgium; British Antarctic Survey, Cambridge CB3 0ET, England</t>
  </si>
  <si>
    <t>Glasgow Caledonian University; Ghent University; UK Research &amp; Innovation (UKRI); Natural Environment Research Council (NERC); NERC British Antarctic Survey</t>
  </si>
  <si>
    <t>Logan, NA (corresponding author), Glasgow Caledonian Univ, Sch Biol &amp; Biomed Sci, Cowcaddens Rd, Glasgow G4 0BA, Lanark, Scotland.</t>
  </si>
  <si>
    <t>De Vos, Paul/J-5392-2013; De Vos, Paul/JAX-4025-2023</t>
  </si>
  <si>
    <t>Heyndrickx, Marc/0000-0002-2913-2686; Halket, Gillian/0000-0002-0448-1951</t>
  </si>
  <si>
    <t>SOC GENERAL MICROBIOLOGY</t>
  </si>
  <si>
    <t>MARLBOROUGH HOUSE, BASINGSTOKE RD, SPENCERS WOODS, READING RG7 1AE, BERKS, ENGLAND</t>
  </si>
  <si>
    <t>1466-5026</t>
  </si>
  <si>
    <t>INT J SYST EVOL MICR</t>
  </si>
  <si>
    <t>Int. J. Syst. Evol. Microbiol.</t>
  </si>
  <si>
    <t>10.1099/00207713-50-5-1741</t>
  </si>
  <si>
    <t>361HN</t>
  </si>
  <si>
    <t>WOS:000089717800005</t>
  </si>
  <si>
    <t>Description of Cellulophaga algicola sp nov., isolated from the surfaces of Antarctic algae, and reclassification of Cytophaga uliginosa (ZoBell and Upham 1944) Reichenbach 1989 as Cellulophaga uliginosa comb. nov.</t>
  </si>
  <si>
    <t>Cellulophaga; Antarctica; epiphytic bacteria; agarolytic bacteria; Cytophaga</t>
  </si>
  <si>
    <t>GEN. NOV.; SEA-ICE; PSYCHROPHILIC BACTERIA; FLAVOBACTERIUM; HYBRIDIZATION; COMPLEX; DNA</t>
  </si>
  <si>
    <t>A group of strains with potent extracellular enzymic activity were isolated from the surfaces of the chain-forming sea-ice diatom Melosira and from an unidentified macrophyte collected from the Eastern Antarctic coastal zone, 16S rDNA sequence analysis indicated that the strains belonged to the genus Cellulophaga and showed greatest similarity to the species Cellulophaga baltica (sequence similarity 97%), Phenotypic characteristics, DNA base composition and DNA-DNA hybridization values clearly separate the Antarctic strains from Cellulophaga baltica and other Cellulophaga species. Thus, the strains form a distinct and novel species and have the proposed name Cellulophaga algicola sp. nov. (type strain IC166(T) = ACAM 630(T)). In addition, it was recognized that the species Cytophaga uliginosa (ZoBell and Upham 1944) Reichenbach 1989, a species phylogenetically remote from the type species of the genus Cytophaga, possessed 16S rDNA sequences and phenotypic and chemotaxonomic traits similar to those of other Cellulophaga species. thus, it was proposed that the species Cytophaga uliginosa be renamed as Cellulophaga uliginosa comb. nov.</t>
  </si>
  <si>
    <t>Univ Tasmania, Sch Agr Sci, Hobart, Tas 7001, Australia</t>
  </si>
  <si>
    <t>Bowman, JP (corresponding author), Univ Tasmania, Sch Agr Sci, GPO Box 252-54, Hobart, Tas 7001, Australia.</t>
  </si>
  <si>
    <t>Bowman, John P./ABF-5108-2020; Bowman, John P/C-2414-2014</t>
  </si>
  <si>
    <t>Bowman, John P./0000-0002-4528-9333; Bowman, John P/0000-0002-4528-9333</t>
  </si>
  <si>
    <t>10.1099/00207713-50-5-1861</t>
  </si>
  <si>
    <t>WOS:000089717800020</t>
  </si>
  <si>
    <t>Smirnov, VV; Pronin, AA; Radionov, VF; Savchenko, AV; Shevchenko, VP</t>
  </si>
  <si>
    <t>Intraseasonal factors responsible for the variability of aerosol and ion content in the polar regions of the atmosphere</t>
  </si>
  <si>
    <t>COMPONENTS; POLLUTION; TRANSPORT; GREENLAND</t>
  </si>
  <si>
    <t>The dispersion of aerosols with particle diameters varying from 0.004 to 10 mu m, their elemental composition, and the spectrum of atmospheric ion mobility in the range between 0.00032 and 5 cm(2)/(V s) were measured in the atmospheric surface layer on Tsigler Island (western Arctic, Franz Josef Land, spring 1994). The measured data are reported and correlated with our data obtained using similar methodology and instruments on Wrangel Island (eastern Arctic, spring 1985), the Laptev Sea (summer 1995), the Antarctic continent (Mirnyi and Molodezhnaya observatories, 1984 and 1992), in the Pamirs (Fedchenko glacier, autumn 1989), and the Moscow region (Obninsk, spring 1994). These results provided new information on the factors responsible for the variability of polar aerosols and air ions. Size-dependent spectra of aerosols over extended snow-covered areas are conservative with respect to variations in relative humidity, solar, gamma, and beta radiation, and wind direction. Moderate and high winds (from 8 to 30 m/s) stimulate an increase in the number density of the particle fraction with diameters D from 0.5 to 1 mu m and of large particles (D &gt; 3 mu m). Fine particles (D &lt; 0.1 mu m) only slightly depend on variations of the wind speed; on the contrary, hard frosts (temperature T from -20 to -35 degrees C) stimulate their number density to increase without regard to the wind speed. Over the polar seas, humidity above 85% initiates hazes whose droplets fall predominantly into the size range from 3 to 5 mu m. During the spring reconstruction, the number density of aerosol particles with D &gt; 0.5 mu m is increased by a factor of 5 to 10. In comparison with the Antarctic region, the air basin of the Arctic region in spring is more heavily polluted by particles of all sizes from the range D = 0.075-5 mu m. The pollution of the snow cover appears comparable and, with respect to some elements, lower than the corresponding pollution in the adjacent Norwegian Arctic. The aerosol pollution in the western (Franz Josef Land) and eastern (Wrangel Island) portions of the Russian Arctic is close in metal content to that of the Canadian Arctic. By and large, no tendency toward an increase in the pollution of the arctic air and snow cover was observed in the most recent 15-20 years. It is the cooled polar atmosphere that supplies the aerosol substance in the form of very fine (D &lt; 0.01 mu m) and large (D &gt; 2 mu m) particles. Most likely, these particles are generated during gaseous-phase reactions.</t>
  </si>
  <si>
    <t>Inst Expt Meteorol, Obninsk 249020, Kaluga Oblast, Russia; Arctic &amp; Antarctic Res Inst, St Petersburg 199226, Russia; Russian Acad Sci, PP Shirshov Oceanol Inst, Moscow 117851, Russia</t>
  </si>
  <si>
    <t>Arctic &amp; Antarctic Research Institute; Russian Academy of Sciences; Shirshov Institute of Oceanology</t>
  </si>
  <si>
    <t>Smirnov, VV (corresponding author), Inst Expt Meteorol, Pr Lenina 82, Obninsk 249020, Kaluga Oblast, Russia.</t>
  </si>
  <si>
    <t>Radionov, Vladimir F./O-3038-2017; Shevchenko, Vladimir/C-2096-2014</t>
  </si>
  <si>
    <t>Shevchenko, Vladimir/0000-0002-9045-297X</t>
  </si>
  <si>
    <t>364VC</t>
  </si>
  <si>
    <t>WOS:000089912800006</t>
  </si>
  <si>
    <t>Rozhkov, VA; Lopatukhin, LI; Lavrenov, IV; Dymov, VI; Bukhanovskii, AV</t>
  </si>
  <si>
    <t>Modeling storm waves</t>
  </si>
  <si>
    <t>A probability model is developed for time series of wave heights in the range of their synoptic-scale variability with its annual rhythmicity taken into account. For the identification and verification of this model, long-term series of waves in the Baltic, Barents, Black, and Mediterranean seas are used. These series are obtained by numerically integrating the equations of wave-energy balance over a specified sequence of the surface-wind velocity fields calculated from the atmospheric-pressure fields in synoptic hours.</t>
  </si>
  <si>
    <t>State Oceanog Inst, St Petersburg Branch, St Petersburg 199026, Russia; Arctic &amp; Antarctic Res Inst, St Petersburg 199226, Russia; Inst High Technol Computat &amp; Data Bases, St Petersburg 198005, Russia</t>
  </si>
  <si>
    <t>Rozhkov, VA (corresponding author), State Oceanog Inst, St Petersburg Branch, 23 Liniya 2A, St Petersburg 199026, Russia.</t>
  </si>
  <si>
    <t>Rozhkov, Valentin/E-2884-2017; Lopatoukhin, Leonid/L-1500-2013</t>
  </si>
  <si>
    <t>Rozhkov, Valentin/0000-0002-1094-5337; Lopatoukhin, Leonid/0000-0002-2882-6256</t>
  </si>
  <si>
    <t>WOS:000089912800011</t>
  </si>
  <si>
    <t>Clarke, A; Lidgard, S</t>
  </si>
  <si>
    <t>Spatial patterns of diversity in the sea: bryozoan species richness in the North Atlantic</t>
  </si>
  <si>
    <t>JOURNAL OF ANIMAL ECOLOGY</t>
  </si>
  <si>
    <t>assemblage; beta diversity; latitude; regional diversity; species turnover</t>
  </si>
  <si>
    <t>MACROBENTHIC COMMUNITIES; LATITUDINAL GRADIENTS; BENTHIC FORAMINIFERA; FEEDING-ACTIVITY; PRESERVATION; BIODIVERSITY; SEASONALITY; LIMITS; SCALE; BETA</t>
  </si>
  <si>
    <t>1. We have examined large-scale geographical patterns in species richness for continental shelf bryozoan assemblages in the North Atlantic. Bryozoans are common and often abundant benthic organisms, but they have not previously been examined at this scale of resolution. 2, Assemblage species richness was estimated by sample species richness. This was highest at intermediate depths (10-75m) at all latitudes where there were sufficient data, but there was no statistically significant variation with depth for the overall data set (all latitudes pooled). Mean assemblage species richness showed no significant variation with latitude, although the highest individual values were generally from lower latitudes. There is thus as yet no convincing evidence for a latitudinal dine in the alpha diversity of North Atlantic bryozoans. 3. Pooling of data into bins of 10 degrees of latitude, or into biogeographic provinces, to estimate regional species richness revealed significant undersampling, Two independent techniques to correct for this undersampling revealed a latitudinal dine in the regional species richness of North Atlantic bryozoans, with a peak around 10-30 degrees N, and a steady decrease in richness north to 80 degrees N. 4, Two measures of beta diversity (Whittaker and Jaccard) revealed relatively high turnover, presumably related to habitat heterogeneity within regional bins or to significant environmental variation across bins. There was a tendency for beta diversity to be higher at lower latitudes, as would be expected from a combination of a latitudinal dine in regional diversity with a mean assemblage species richness invariant with latitude. Null models were used to clarify the expected relationship between the two measures of beta diversity, and these indicated a strong influence of species-abundance structure in the North Atlantic bryozoan data.</t>
  </si>
  <si>
    <t>British Antarctic Survey, Div Biol Sci, Cambridge CB3 0ET, England; Field Museum Nat Hist, Chicago, IL 60605 USA</t>
  </si>
  <si>
    <t>UK Research &amp; Innovation (UKRI); Natural Environment Research Council (NERC); NERC British Antarctic Survey; Field Museum of Natural History (Chicago)</t>
  </si>
  <si>
    <t>British Antarctic Survey, Div Biol Sci, High Cross,Madingley Rd, Cambridge CB3 0ET, England.</t>
  </si>
  <si>
    <t>andrew.clarke@bas.ac.uk</t>
  </si>
  <si>
    <t>0021-8790</t>
  </si>
  <si>
    <t>1365-2656</t>
  </si>
  <si>
    <t>J ANIM ECOL</t>
  </si>
  <si>
    <t>J. Anim. Ecol.</t>
  </si>
  <si>
    <t>10.1046/j.1365-2656.2000.00440.x</t>
  </si>
  <si>
    <t>361ZV</t>
  </si>
  <si>
    <t>WOS:000089754900007</t>
  </si>
  <si>
    <t>Wood, AG; Naef-Daenzer, B; Prince, PA; Croxall, JP</t>
  </si>
  <si>
    <t>Quantifying habitat use in satellite-tracked pelagic seabirds: application of kernel estimation to albatross locations</t>
  </si>
  <si>
    <t>GREY-HEADED ALBATROSS; HOME-RANGE; WANDERING ALBATROSSES; DIOMEDEA-EXULANS; SOUTH-GEORGIA; FEEDING ECOLOGY; INDIAN-OCEAN; SEGREGATION; AUSTRALIA; FISHERIES</t>
  </si>
  <si>
    <t>We develop a new approach to quantifying habitat use within the foraging ranges of satellite-tracked seabirds. We applied kernel estimation techniques to 167 days (3738 locations) of data from Black-browed and Grey-headed albatrosses Diomedea melanophris and D. chrysostoma during the chick-rearing period of the breeding cycle at South Georgia. At this time the activity range of these two species covers an estimated 440 000 and 640 000 km(2), respectively, with very substantial overlap. In contrast, kernel estimation reveals that the main foraging areas of these two sympatric, congeneric species are very distinct. Based on location density categories accounting for 50% of locations, the foraging areas cover c. 81 500 and c. 119 700 km(2), respectively, with 42% and 50% of the range of one species overlapping with that of the other.</t>
  </si>
  <si>
    <t>British Antarctic Survey, Natl Environm Res Council, Cambridge CB3 0ET, England; Swiss Ornithol Inst, CH-6204 Sempach, Switzerland</t>
  </si>
  <si>
    <t>UK Research &amp; Innovation (UKRI); Natural Environment Research Council (NERC); NERC British Antarctic Survey; Swiss Ornithological Institute</t>
  </si>
  <si>
    <t>agw@mail.nerc-bas.ac.uk; beat.naef@vogelwarte.ch</t>
  </si>
  <si>
    <t>10.1034/j.1600-048X.2000.310302.x</t>
  </si>
  <si>
    <t>362ND</t>
  </si>
  <si>
    <t>WOS:000089783300002</t>
  </si>
  <si>
    <t>Schultz, MA; Klomp, NI</t>
  </si>
  <si>
    <t>Does the foraging strategy of adult Short-tailed Shearwaters cause obesity in their chicks?</t>
  </si>
  <si>
    <t>STOCHASTIC VARIATION; BODY CONDITION; FOOD DELIVERY; MEAL SIZE; PETREL; GROWTH; ACCUMULATION; PARENTS; COLONY; ROLES</t>
  </si>
  <si>
    <t>The chick provisioning behaviour of Short-tailed Shearwaters Puffinus tenuirostris breeding at the northern edge of their distribution on Montague Island, New South Wales, was examined in February and March 1997. The duration of individual foraging trips of parents, weight changes of adults and chicks, and meal sizes delivered to chicks were determined. It was found that individual parents mixed a long foraging trip to Antarctic waters (14.4 +/- 2.0 days) with one to three short foraging trips (1.36 +/- 0.7 days, mode = 1 day). Adults gained body mass on long trips and lost weight on short trips. The size of meals fed to the chicks was significantly greater after a long trip (161 +/- 21 g) than after a short trip (135 +/- 28 g), although short trips increased the overall chick feeding frequency. The variable number of short trips made by adult Short-tailed Shearwaters and the relationship between short trips and adult body condition were consistent with current life-history theory: adults do not sacrifice their own body condition to increase food delivered to their chicks. Modelling revealed that this dual foraging strategy inevitable leads to chicks enduring long intervals between meals. These long intervals may have led to the evolution of an over-feeding strategy by parents and the nestling obesity reported in this shearwater. The durations of the long trips from Montague Island were significantly greater than those for Short-tailed Shearwaters breeding at the centre of their distribution in Tasmania, although there was no significant difference in the length of short trips. A commitment to feed regularly in Antarctic waters may explain why the breeding distribution of this species does not extend much further north.</t>
  </si>
  <si>
    <t>Charles Sturt Univ, Johnstone Ctr, POB 789, Albury, NSW 2640, Australia</t>
  </si>
  <si>
    <t>Charles Sturt University</t>
  </si>
  <si>
    <t>Klomp, NI (corresponding author), Charles Sturt Univ, Johnstone Ctr, POB 789, Albury, NSW 2640, Australia.</t>
  </si>
  <si>
    <t>nklomp@csu.edu.au</t>
  </si>
  <si>
    <t>Klomp, Nicholas/0000-0002-2367-0125</t>
  </si>
  <si>
    <t>10.1034/j.1600-048X.2000.310303.x</t>
  </si>
  <si>
    <t>WOS:000089783300003</t>
  </si>
  <si>
    <t>Berrow, SD; Wood, AR; Prince, PA</t>
  </si>
  <si>
    <t>Foraging location and range of White-chinned Petrels Procellaria aequinoctialis breeding in the South Atlantic</t>
  </si>
  <si>
    <t>SEALS ARCTOCEPHALUS-GAZELLA; ALBATROSSES PROCELLARIIFORMES; RADIO TRANSMITTERS; SEABIRDS; GEORGIA; BEHAVIOR; PENGUINS</t>
  </si>
  <si>
    <t>The foraging range and principal feeding areas of White-chinned Petrels breeding at South Georgia were determined using satellite telemetry. Foraging trips during incubation lasted 12-15 days and covered 3000-8000 km and 2-11 days and 1100-5900 km during chick-rearing. Adults covered less distance per day during chick-rearing (71 km) than during incubation (91 km) but the proportion covered at night (47%) was the same. Mean (31-34 km/h) and maximum (80 km/h) flight velocities were similar during both periods of the breeding season and during day and night. Between incubation shifts, White-chinned Petrels travelled to the Patagonian shelf during chick-rearing they foraged more extensively. Most locations were between 30 degrees to 55 degrees W and 52 degrees to 60 degrees W around South Georgia/Shag Rocks and south to the South Orkney Islands. Diet samples from known foraging locations suggested birds fed mainly on krill and squid. They caught the squid Brachioteuthis? picta and Galiteuthis glacialis around Shag Rocks/South Georgia and also at sites close to the South Orkney Islands: Illex argentinus on the Patagonian shelf. Dispersal of adults after breeding failure was south to the South Orkney Islands then west to the Falkland Islands. This study confirms that breeding White-chinned Petrels are amongst the widest-ranging of seabirds; they may minimise competition with other Procellariiformes in the South Atlantic by their more extensive foraging range. The nature and extent of their range also brings substantial risk of high mortality rate in South Atlantic long-line fisheries.</t>
  </si>
  <si>
    <t>sdbe@pcmail.nerc-bas.ac.uk</t>
  </si>
  <si>
    <t>10.1034/j.1600-048X.2000.310305.x</t>
  </si>
  <si>
    <t>WOS:000089783300005</t>
  </si>
  <si>
    <t>Huin, N; Prince, PA</t>
  </si>
  <si>
    <t>Chick growth in albatrosses: curve fitting with a twist</t>
  </si>
  <si>
    <t>We present a new type of equation to describe the growth patterns of procellariiform seabirds and other species a-hose chicks characteristically lose mass towards the end of the rearing period. Our equation is based on the Gompertz curve; our principles are also applicable to logistic and von Bertalanffy curves. From our model, five coefficients ran be derived to characterise the patterns of growth. These are: growth rate, peak mass and age at which it is attained, loss rate and an index describing the overall shape of the curve. We illustrate the use of this nea equation with data collected, using automated weighing platforms, on six pars of chick growth of Black-browed Diomedea melanophris and Grey-headed D. chryostoma albatrosses at Bird Island, South Georgia. In comparison with Grey-headed Albatross, Black-browed Albatross chicks grow at a faster rate and to a higher peak mass; they also reach their peak mass at an earlier age, and lose mass at a faster rate in the mass recession period However, in both species, chicks reached peak mass when 72% of the rearing period had elapsed; within species, only this did not vary between years. This new equation not only enables the period df mass recession to be incorporated into growth analysis, but, because it does not require assumptions about asymptotic mass, greatly facilitates inter-species comparisons.</t>
  </si>
  <si>
    <t>nhu@pcmail.nerc-bas.ac.uk</t>
  </si>
  <si>
    <t>10.1034/j.1600-048X.2000.310318.x</t>
  </si>
  <si>
    <t>WOS:000089783300018</t>
  </si>
  <si>
    <t>McDowall, RM</t>
  </si>
  <si>
    <t>Biogeography of the southern cool-temperate galaxioid fishes: evidence from metazoan macroparasite faunas</t>
  </si>
  <si>
    <t>Australia; coevolution; fishes; Galaxiidae; New Zealand; parasites; Retropinnidae; South America</t>
  </si>
  <si>
    <t>GENERALIZED TRACKS; REDESCRIPTION; MACULATUS; DISPERSAL; PARASITES; PISCES</t>
  </si>
  <si>
    <t>Aim This study seeks evidence for coevolution between the galaxioid fish families, Galaxiidae and Retropinnidae, and their macroparasites as a means of adding to our understanding of the biogeography of the fish families. Location These families are characteristic southern cool-temperate elements in the fish faunas of Australia, New Zealand and southern South America and some southern/ sub-Antarctic islands. Methods The analysis is based on a review of the literature. Results Analysis showed that in each area fish species have parasites that are representative of the general fish parasite faunas of that area, rather than those characteristic of, or specific to, either these galaxioid families or the genera and species that they contain. In many instances the parasites also infect exotic fish species introduced into each area. Main conclusions There is little evidence that parasite faunas have coevolved with the fish hosts. Parasite data therefore provide little support for a vicariance biogeography of galaxioid fishes in the southern cool-temperate region. Also, the data do not conflict with dispersal hypotheses for that biogeography.</t>
  </si>
  <si>
    <t>Natl Inst Water &amp; Atmospher Res, Christchurch, New Zealand</t>
  </si>
  <si>
    <t>Natl Inst Water &amp; Atmospher Res, Christchurch, New Zealand.</t>
  </si>
  <si>
    <t>r.mcdowall@niwa.cri.nz</t>
  </si>
  <si>
    <t>10.1046/j.1365-2699.2000.00490.x</t>
  </si>
  <si>
    <t>399CZ</t>
  </si>
  <si>
    <t>WOS:000166794800014</t>
  </si>
  <si>
    <t>Dalziel, IWD; Mosher, S; Gahagan, LM</t>
  </si>
  <si>
    <t>Laurentia-Kalahari collision and the assembly of Rodinia</t>
  </si>
  <si>
    <t>EASTERN NEW-MEXICO; SOUTH-AFRICA; TECTONIC EVOLUTION; MOBILE BELT; WEST TEXAS; LLANO UPLIFT; PB; AUSTRALIA; AGE; RECONSTRUCTIONS</t>
  </si>
  <si>
    <t>The Llano Orogenic Belt along the present southern margin of Laurentia, regarded as continuation of the Grenvillian Orogen along the eastern Laurentian margin and exposed in basement uplifts in central and western Texas, records an similar to 300-m.yr. history of orogenesis culminating in are-continent and continent-continent collision between similar to 1150 and 1120 Ma and continuing until similar to 980 Ma. The shape of the orogen and kinematics of the contractional deformation along the belt, together with the high-P metamorphic conditions attained, indicate that a previously unidentified craton served as an indentor. It is paleomagnetically acceptable for the Kalahari Craton of southern Africa to have been opposed to this margin and within similar to 1500 km of present-day central Texas at similar to 1100 Ma. Moreover, the Kalahari Craton is the correct size, and the structural and metamorphic evolution of the 1200-950 Ma Namaqua-Natal Orogenic Belt that wraps around its present southern margin is compatible with that craton having been the indentor. The ocean basin that closed between the Laurentia and Kalahari Cratons would have been comparable to the present Pacific, with island arc/terrane accretion occurring during the Mesoproterozoic along opposing active convergent margins. The coeval 1.1 Ga Keeweenawan and Umkondo magmatic provinces of Laurentia and Kalahari, respectively, are associated with rifts at a high angle to the Llano and Namaqua Orogens. The rifts are interpreted as the result of collision-generated extensional stresses within the two cratons. The voluminous mafic igneous rocks in both provinces, however, may reflect contemporaneous plume activity. Our reconstruction for 1.1 Ga provides a testable model for the Llano Orogenic Belt of Texas and the Namaqua Orogenic Belt of southwestern Africa as opposite sides of a Himalayan-type collisional orogen, with the Natal Belt of southeastern Africa and the originally continuous Maudheim Belt of East Antarctica as a related Indonesian-type ocean-continent convergence zone. This reconstruction leads to a refinement of the paleogeography of Rodinia, with the Kalahari Craton in a position isolated from both the East Antarctic and Rio de la Plata Cratons by oceanic lithosphere. It also provides the first model for the assembly of that hypothetical early Neoproterozoic supercontinent. At least four separate cratonic entities appear to have collided along three discrete segments of the apparently anastomosing global network of Grenvillian orogens: the type-Grenville Belt of eastern North America and counterparts in South America, the Llano-Namaqua Belt, and the Eastern Ghats-Albany/Fraser Belt of India-East Antarctica and Australia. Over the remarkably short interval of similar to 200 m.yr., this first-order composite collisional event resulted in the amalgamation of most of Earth's continental lithosphere and defined the close of the Mesoproterozoic Era.</t>
  </si>
  <si>
    <t>Univ Texas, Inst Geophys, Austin, TX 78759 USA; Univ Texas, Dept Geol Sci, Austin, TX 78712 USA; Univ Western Australia, Tecton Special Res Ctr, Dept Geol &amp; Geophys, Perth, WA 6009, Australia</t>
  </si>
  <si>
    <t>University of Texas System; University of Texas Austin; University of Texas System; University of Texas Austin; University of Western Australia</t>
  </si>
  <si>
    <t>Univ Texas, Inst Geophys, 4412 Spicewood Springs Rd 600, Austin, TX 78759 USA.</t>
  </si>
  <si>
    <t>ian@utig.ig.utexas.edu</t>
  </si>
  <si>
    <t>Dalziel, Ian W. D./G-5926-2010</t>
  </si>
  <si>
    <t>10.1086/314418</t>
  </si>
  <si>
    <t>353GV</t>
  </si>
  <si>
    <t>WOS:000089267200001</t>
  </si>
  <si>
    <t>Iucci, N; Villoresi, G; Dorman, LI; Parisi, M</t>
  </si>
  <si>
    <t>Cosmic ray survey to Antarctica and coupling functions for neutron component near solar minimum (1996-1997) 2. Determination of meteorological effects</t>
  </si>
  <si>
    <t>In this paper we present an analysis of meteorological effects influencing the counting rate of a standard cosmic ray NM-64 neutron monitor and bare neutron counters used during the latitude survey performed in 1996-1997 from Italy to Antarctica and back. In particular, we determine for the first time the influence of the Bernoulli effect on the evaluation of atmospheric mass and the effect of sea state strength on neutron counting rate, by using data recorded during the long period spent in the Antarctic region (vertical cutoff rigidity R-cp less than or equal to 1 GV). Atmospheric absorption coefficients have been computed accurately for the Antarctic region, as well as at different cutoff rigidities by combining previous findings together with our determinations at R-cp less than or equal to 1 GV and R-cp = 6.2 GV. We also estimate the temperature effect on the NM-64 counting rate by using the sea level temperature during the expedition and the vertical distribution data of atmospheric temperature measured by satellites. Data corrections for all meteorological effects are discussed.</t>
  </si>
  <si>
    <t>Roma Tre Univ, Dept Phys, CNR, Ist Fis Spazio Interplanetario, I-00146 Rome, Italy; Tel Aviv Univ, ICRC, IL-12900 Qazrin, Israel; Technion Israel Inst Technol, Dept Phys, IL-32000 Haifa, Israel; IZMIRAN, Moscow, Russia</t>
  </si>
  <si>
    <t>Consiglio Nazionale delle Ricerche (CNR); Istituto Nazionale Astrofisica (INAF); Roma Tre University; Tel Aviv University; Technion Israel Institute of Technology</t>
  </si>
  <si>
    <t>Roma Tre Univ, Dept Phys, CNR, Ist Fis Spazio Interplanetario, Via Vasca Navale 84, I-00146 Rome, Italy.</t>
  </si>
  <si>
    <t>iucci@fis.uniroma3.it; villoresi@fis.uniroma3.it; lid@physics.technion.ac.il; parisi@fis.uniroma3.it</t>
  </si>
  <si>
    <t>parisi, mario/O-8924-2018</t>
  </si>
  <si>
    <t>parisi, mario/0000-0001-5550-5135</t>
  </si>
  <si>
    <t>A9</t>
  </si>
  <si>
    <t>10.1029/2000JA900050</t>
  </si>
  <si>
    <t>356GU</t>
  </si>
  <si>
    <t>WOS:000089436200017</t>
  </si>
  <si>
    <t>Petrukovich, AA; Baumjohann, W; Nakamura, R; Mukai, T; Troshichev, OA</t>
  </si>
  <si>
    <t>Small substorms: Solar wind input and magnetotail dynamics</t>
  </si>
  <si>
    <t>INTERPLANETARY MAGNETIC-FIELD; GEOMAGNETIC TAIL; PLASMA SHEET; SPACECRAFT; PHASE; FLOWS</t>
  </si>
  <si>
    <t>We investigated properties of 43 small magnetospheric substorms. Their general signatures were found to be consistent with the so-called contracted oval or northern B-z substorms, Small but clear pressure changes in the tail corresponding to growth and expansion phases detected in about a half of cases testify that these substorms follow the same loading-unloading scheme as the larger ones. However, rate of the solar wind energy accumulation in the magnetosphere was low due to azimuthal IMF orientation with dominating IMF By and small fluctuating IMF B-z. Plasma sheet signatures could be very strong and likely were localized in their cross-tail size, Negative bags in auroral X magnetograms were of order of 100-300 nT, with maxima at Bear Island station (71 degrees geomagnetic latitude) and in few cases were delayed after magnetotail onsets by tens of minutes, Small substorms probably differ front their larger counterparts in a, way that coherency of the magnetotail reconfiguration in the inner and middle-tail regions and across the tail is lost in smaller substorms.</t>
  </si>
  <si>
    <t>Russian Acad Sci, Space Res Inst, Moscow 117810, Russia; Max Planck Inst Extraterr Phys, D-85740 Garching, Germany; Inst Space &amp; Astronaut Sci, Sagamihara, Kanagawa 229, Japan; Arctic &amp; Antarctic Res Inst, St Petersburg 199397, Russia</t>
  </si>
  <si>
    <t>Russian Academy of Sciences; Space Research Institute of the Russian Academy of Sciences; Max Planck Society; Japan Aerospace Exploration Agency (JAXA); Institute of Space &amp; Astronautical Science (ISAS); Arctic &amp; Antarctic Research Institute</t>
  </si>
  <si>
    <t>Russian Acad Sci, Space Res Inst, 84-32 Profsoyuznaya St, Moscow 117810, Russia.</t>
  </si>
  <si>
    <t>apetruko@iki.rssi.ru; bj@impe.mpg.de; rumi@mpe.mpg.de; mukai@gtl.isas.ac.jp; olegtro@aari.nw.ru</t>
  </si>
  <si>
    <t>Mukai, Toshifumi/ABD-3297-2021; Nakamura, Rumi/I-7712-2013; Petrukovich, Anatoly A./G-8764-2011; Baumjohann, Wolfgang/A-1012-2010</t>
  </si>
  <si>
    <t>Nakamura, Rumi/0000-0002-2620-9211; Baumjohann, Wolfgang/0000-0001-6271-0110</t>
  </si>
  <si>
    <t>10.1029/2000JA900057</t>
  </si>
  <si>
    <t>WOS:000089436200024</t>
  </si>
  <si>
    <t>Pakhomov, EA; Froneman, PW; Ansorge, IJ; Lutjeharms, JRE</t>
  </si>
  <si>
    <t>Temporal variability in the physico-biological environment of the Prince Edward Islands (Southern Ocean)</t>
  </si>
  <si>
    <t>Subantarctic; Prince Edward Islands; temporal variability; oceanographic and biological environment dynamics</t>
  </si>
  <si>
    <t>ANTARCTIC CIRCUMPOLAR CURRENT; TRACKED KING PENGUINS; INDIAN-OCEAN; SUBTROPICAL CONVERGENCE; COMMUNITY STRUCTURE; CROZET ARCHIPELAGO; GRAZING IMPACT; CAPE-TOWN; WATERS; AFRICA</t>
  </si>
  <si>
    <t>Oceanographic environment, chlorophyll-a (chl-a), plankton composition and spatial dynamics were investigated during two large-scale surveys conducted in April/May 1989 and 1997 within the Antarctic Polar Front Zone (APFZ) around the Prince Edward Islands. On both occasions, substantial disturbances in the flow pattern of the Antarctic Circumpolar Current (ACC) were demonstrated particularly downstream of the islands. In this region, enhanced cross frontal and zonal mixing were generated by the intrusion of foreign water masses from outside the APFZ. This may have been promoted by the differences in the flow intensity of the ACC in the vicinity of the islands which is affected by the Subantarctic Front (SAF) location near the island plateau. Distribution of chi-a was generally uniform throughout both surveys with values ranging from 0.1 to 0.2 and from 0.2 to 0.3 mg m(-3) during 1989 and 1997, respectively. Although a single phytoplankon community was identified during both surveys, quantitative distribution of the surface phytoplankton showed a good consistency with spatial patterns of water masses. Community structure and distribution of meso- and macrozoo-plankton/micronekton confirmed that extensive cross-frontal mixing occurred in the downstream region of the islands. While no substantial differences between the inter-island and offshore assemblages of mesozooplankton were found, a distinct inter-island macroplankton community was identified. Zooplankton community structure clearly indicated the intrusion of subtropical species into the region during the 1997 survey. The extent of modifications in the APFZ planktonic realms in the vicinity of the Prince Edward Islands may be influenced by the effect of the flow regime, in particular by the speed at which the incident current, the ACC, approaches and interacts with the island group. (C) 2000 Elsevier Science B.V. All rights reserved.</t>
  </si>
  <si>
    <t>Rhodes Univ, Dept Zool &amp; Entomol, So Ocean Grp, ZA-6140 Grahamstown, South Africa; Univ Cape Town, Dept Oceanog, ZA-7701 Rondebosch, Cape Town, South Africa</t>
  </si>
  <si>
    <t>Rhodes University; University of Cape Town</t>
  </si>
  <si>
    <t>Froneman, William/GLS-0460-2022; ANSORGE, ISABELLE/AAY-7396-2020; Froneman, William/C-9085-2012</t>
  </si>
  <si>
    <t>Froneman, William/0000-0003-0615-1355; Ansorge, Isabelle/0000-0001-7071-8147</t>
  </si>
  <si>
    <t>1879-1573</t>
  </si>
  <si>
    <t>10.1016/S0924-7963(00)00041-5</t>
  </si>
  <si>
    <t>355BF</t>
  </si>
  <si>
    <t>WOS:000089365200004</t>
  </si>
  <si>
    <t>Estimates of area-averaged diapycnal fluxes from basin-scale budgets</t>
  </si>
  <si>
    <t>SOUTH-ATLANTIC OCEAN; WESTERN-BOUNDARY CURRENT; INDIAN-OCEAN; DEEP-WATER; HYDROGRAPHIC SECTION; BOTTOM WATER; INVERSE METHODS; PACIFIC-OCEAN; WORLD OCEAN; CIRCULATION</t>
  </si>
  <si>
    <t>Estimates of area-averaged diapycnal fluxes for the southern oceans are derived from basin-scale budgets of mass, heat, and salt using a box inverse model. The diapycnal fluxes are found to be significant terms in the isopycnal budgets of mass, heat, and salt. Dense water entering the subtropical Indian and Pacific basins from the south is returned below the thermocline as less dense deep water. In the Southern Ocean deep water is converted to denser jeep and bottom water. Water properties at intermediate depth are substantially modified by diapycnal fluxes of heat and salt, but the modification of intermediate water is not solely driven by interior mixing. The inferred fluxes help explain the changes in temperature-salinity curves observed across each basin, and they are consistent with our understanding of the overall three-dimensional circulation of the Southern Ocean. The fact that area-averaged diapycnal fluxes can be determined from basin-scale budgets using a suitably designed inverse model is encouraging: similar methods applied to the high-quality measurements collected during the World Ocean Circulation Experiment promise to provide the first global maps of diapycnal fluxes derived from ocean observations.</t>
  </si>
  <si>
    <t>Univ Tasmania, Antarctic Cooperat Res Ctr, Hobart, Tas, Australia; Univ Tasmania, Inst Antarctic &amp; So Ocean Studies, Hobart, Tas 7001, Australia; CSIRO, Div Marine Res, Hobart, Tas, Australia</t>
  </si>
  <si>
    <t>University of Tasmania; University of Tasmania; Commonwealth Scientific &amp; Industrial Research Organisation (CSIRO)</t>
  </si>
  <si>
    <t>Sloyan, BM (corresponding author), NOAA, Pacific Marine Environm Lab, OCRD, 7600 Sand Point Way Ne,Bldg 3, Seattle, WA 98115 USA.</t>
  </si>
  <si>
    <t>10.1175/1520-0485(2000)030&lt;2320:EOAADF&gt;2.0.CO;2</t>
  </si>
  <si>
    <t>361PY</t>
  </si>
  <si>
    <t>WOS:000089732500011</t>
  </si>
  <si>
    <t>Matheson, T</t>
  </si>
  <si>
    <t>Temperature dependence of neuronal function in a stenothermal Antarctic isopod, Glyptonotus antarcticus</t>
  </si>
  <si>
    <t>JOURNAL OF PHYSIOLOGY-LONDON</t>
  </si>
  <si>
    <t>Univ Cambridge, Dept Zool, Cambridge CB2 3EJ, England</t>
  </si>
  <si>
    <t>0022-3751</t>
  </si>
  <si>
    <t>J PHYSIOL-LONDON</t>
  </si>
  <si>
    <t>J. Physiol.-London</t>
  </si>
  <si>
    <t>139P</t>
  </si>
  <si>
    <t>140P</t>
  </si>
  <si>
    <t>Neurosciences; Physiology</t>
  </si>
  <si>
    <t>Neurosciences &amp; Neurology; Physiology</t>
  </si>
  <si>
    <t>362PW</t>
  </si>
  <si>
    <t>WOS:000089787600185</t>
  </si>
  <si>
    <t>Mietelski, JW; Gaca, P; Olech, MA</t>
  </si>
  <si>
    <t>Radioactive contamination of lichens and mosses collected in South Shetlands and Antarctic Peninsula</t>
  </si>
  <si>
    <t>JOURNAL OF RADIOANALYTICAL AND NUCLEAR CHEMISTRY</t>
  </si>
  <si>
    <t>POLAND; RADIONUCLIDES; CHERNOBYL; SAMPLES</t>
  </si>
  <si>
    <t>Samples belonging to two species of lichen and one of moss collected on the Antarctic seashore (King George Island, Deception, Antarctic Peninsula) were analysed for gamma-emitters using HPGe gamma-spectrometry, and for alpha-emitters using alpha-spectrometry with silicon detectors. Observed Cs-137 activities show large variations: from 4.1+/-0.4 to 74+/-3 Bq/kg. Total activity of Pb-210 changed from &lt;2 to 125+/-35 Bq/kg. The Pu239+240 activity ranged from 0.07+/-0.02 to 2.95+/-0.16 Bq/kg. The activity of Pu-238 ranged from &lt;0.02 to 0.64+/-0.04 Bq/kg. Maximum U-238 and U-234 activity was 7 Bq/kg, respectively and 0.3 Bq/kg for U-235, whereas minimum activities were below 0.5 Bq/kg for U-234 and U-238 and about 0.02 Bq/kg for U-235. The U-235 to U-238 activity ratio for most of the samples was natural. Thorium activities were about two times lower than those for uranium. The activities of Sm-147 ranged from 0.014+/-0.002 to 1.0+/-0.2 Bq/kg. One sample had relatively high activity of Am-241: 3.38+/-0.11 Bq/kg, another did not exceeded 1 Bq/kg. Observed activity ratios confirmed differences between mosses and lichen accumulation properties for radionuclides. Lichens are more selective for plutonium accumulation. Some radiocesium and probably also americium can be leached from them.</t>
  </si>
  <si>
    <t>H Niewodniczanski Inst Nucl Phys, Environm Radioact Lab, PL-31342 Krakow, Poland; Jagiellonian Univ, Inst Bot, PL-31512 Krakow, Poland; Polish Acad Sci, Dept Antarctic Biol, PL-02141 Warsaw, Poland</t>
  </si>
  <si>
    <t>Polish Academy of Sciences; Institute of Nuclear Physics - Polish Academy of Sciences; Jagiellonian University; Polish Academy of Sciences</t>
  </si>
  <si>
    <t>Mietelski, JW (corresponding author), H Niewodniczanski Inst Nucl Phys, Environm Radioact Lab, Radzikowskiego 152, PL-31342 Krakow, Poland.</t>
  </si>
  <si>
    <t>Mietelski, Jerzy Wojciech/AAO-5241-2021</t>
  </si>
  <si>
    <t>Mietelski, Jerzy Wojciech/0000-0002-9430-1386; Gaca, Pawel/0000-0003-0786-3143</t>
  </si>
  <si>
    <t>0236-5731</t>
  </si>
  <si>
    <t>J RADIOANAL NUCL CH</t>
  </si>
  <si>
    <t>J. Radioanal. Nucl. Chem.</t>
  </si>
  <si>
    <t>10.1023/A:1006748924639</t>
  </si>
  <si>
    <t>Chemistry, Analytical; Chemistry, Inorganic &amp; Nuclear; Nuclear Science &amp; Technology</t>
  </si>
  <si>
    <t>Chemistry; Nuclear Science &amp; Technology</t>
  </si>
  <si>
    <t>360NE</t>
  </si>
  <si>
    <t>WOS:000089673500011</t>
  </si>
  <si>
    <t>Bradshaw, CJA; Davis, LS; Lalas, C; Harcourt, RG</t>
  </si>
  <si>
    <t>Geographic and temporal variation in the condition of pups of the New Zealand fur seal (Arctocephalus forsteri):: evidence for density dependence and differences in the marine environment</t>
  </si>
  <si>
    <t>JOURNAL OF ZOOLOGY</t>
  </si>
  <si>
    <t>Arctocephalus forsteri; condition index; density dependence; El Nino; ENSO; environmental variation; La Nina; morphometrics; New Zealand fur seal</t>
  </si>
  <si>
    <t>HOKI MACRURONUS-NOVAEZELANDIAE; BODY CONDITION; OTAGO PENINSULA; SOUTH GEORGIA; CONDITION INDEXES; GROWTH; ISLAND; ABUNDANCE; GAZELLA; SURVIVAL</t>
  </si>
  <si>
    <t>We report on the geographic and temporal variation in pup condition in 20 colonies of New :Zealand fur seals Arctocephalus forsteri around South Island, New Zealand during three consecutive breeding seasons, 1996-98 (n = 6856 pups) and provide hypotheses to explain the observed patterns. Three alternative data combinations are presented to calculate pup condition from body measurements and identify which combination seems to be best suited for analysing geographic patterns. A morphometric index of pup condition was best estimated by comparing all pups in all years using least-squares linear regression of the log(e)-transformed measurements of length vs mass. Condition varied significantly among years and colonies, but not between sexes. We also estimated seasonal changes in pup densities at colonies and investigated the relationship between pup density and condition. Mean pup densities among colonies ranged from 4.94 to 7.46 pups/100 m(2) (summer) and from 4.99 to 7.04 pups/100 m(2) (winter) from 1996-98, and differences between summer and winter densities varied with year. Pup density explained a significant proportion of the variation in pup condition in 1996 and 1998, suggesting that condition is partly density-dependent. After accounting for the effect of density, we found geographic differences in pup condition, and we offer alternative hypotheses to explain these differences. We also show that the 1998 El Nino coincided with a reduction in pup condition. A morphometric index of pup condition seems to be useful as an indicator of spatial and temporal variation in the marine environment.</t>
  </si>
  <si>
    <t>Univ Tasmania, Dept Zool, Antarctic Wildlife Res Unit, Hobart, Tas 7001, Australia; Univ Otago, Dept Zool, Dunedin, New Zealand; Macquarie Univ, Grad Sch Environm, Marine Mammal Res Grp, Sydney, NSW 2109, Australia</t>
  </si>
  <si>
    <t>University of Tasmania; University of Otago; Macquarie University</t>
  </si>
  <si>
    <t>Bradshaw, CJA (corresponding author), Univ Tasmania, Dept Zool, Antarctic Wildlife Res Unit, GPO Box 252-05, Hobart, Tas 7001, Australia.</t>
  </si>
  <si>
    <t>Davis, Lloyd/HJI-3533-2023; Bradshaw, Corey J. A./A-1311-2008</t>
  </si>
  <si>
    <t>Bradshaw, Corey J. A./0000-0002-5328-7741; Harcourt, Robert/0000-0003-4666-2934</t>
  </si>
  <si>
    <t>0952-8369</t>
  </si>
  <si>
    <t>J ZOOL</t>
  </si>
  <si>
    <t>J. Zool.</t>
  </si>
  <si>
    <t>10.1017/S0952836900009055</t>
  </si>
  <si>
    <t>357NB</t>
  </si>
  <si>
    <t>WOS:000089506800005</t>
  </si>
  <si>
    <t>Belzile, C; Johannessen, SC; Gosselin, M; Demers, S; Miller, WL</t>
  </si>
  <si>
    <t>Ultraviolet attenuation by dissolved and particulate constituents of first-year ice during late spring in an Arctic polynya</t>
  </si>
  <si>
    <t>ANTARCTIC SEA-ICE; HIGHLY TURBID WATERS; ABSORPTION-COEFFICIENTS; OPTICAL-PROPERTIES; UV-RADIATION; PHYTOPLANKTON; LIGHT; TRANSMISSION; COMMUNITIES; SCATTERING</t>
  </si>
  <si>
    <t>Vertical profiles of ultraviolet radiation (UVR) and photosynthetically available radiation (PAR) were measured under five large ice flees located in the North Water Polynya, northern Baffin Bay, in June 1998. Together with incident irradiance measurements, these profiles were used to assess the irradiance attenuation by the ice and its constituents. We also measured vertical distribution of absorption by colored dissolved organic matter (CDOM) and particulate organic matter (POM) in three melted ice cores. The ice thickness and snow depth varied from 0.5 to 1.3 m and from 1 to 9 cm, respectively. The ice-snow interface was infiltrated by meltwater. About 2-13% of incident UV-B irradiance was transmitted through the snow, ice, and ice algae biomass; transmittance increased to 5-19% for UV-A and to 5-12% for PAR. CDOM and POM contributed significantly to the attenuation of irradiance within the ice. The relatively high UVR transparency found in this study coincided with the seasonal maximum of incident UV irradiance. Hence, the resulting very high UVR:PAR ratio could affect the communities in the sea ice, at the ice-water interface, and in the surface waters underneath the ice cover. In addition, the strong absorption by CDOM found in this high-UVR environment indicates that significant photochemical reactions could occur.</t>
  </si>
  <si>
    <t>Univ Quebec, Inst Sci Mer Rimouski, Grp Rech Environm Cotier, Rimouski, PQ G5L 3A1, Canada; Dalhousie Univ, Dept Oceanog, Halifax, NS B3H 4J1, Canada</t>
  </si>
  <si>
    <t>University of Quebec; Dalhousie University</t>
  </si>
  <si>
    <t>Belzile, C (corresponding author), Univ Laval, Dept Biol, St Foy, PQ G1K 7P4, Canada.</t>
  </si>
  <si>
    <t>Miller, William L/O-5541-2016; Gosselin, Michel/B-4477-2014</t>
  </si>
  <si>
    <t>Miller, William L/0000-0003-2444-0214; Gosselin, Michel/0000-0002-1044-0793; Belzile, Claude/0000-0003-3908-7433</t>
  </si>
  <si>
    <t>10.4319/lo.2000.45.6.1265</t>
  </si>
  <si>
    <t>355QN</t>
  </si>
  <si>
    <t>WOS:000089396500006</t>
  </si>
  <si>
    <t>Marsh, AG; Manahan, DT</t>
  </si>
  <si>
    <t>Metabolic differences between demersal and pelagic development of the Antarctic sea urchin Sterechinus neumayeri</t>
  </si>
  <si>
    <t>TEMPERATE ECHINODERMS; ENERGY-METABOLISM; MCMURDO SOUND; EMBRYOS; LARVAE; INVERTEBRATES; ECOLOGY; GROWTH; WATER; LIFE</t>
  </si>
  <si>
    <t>Early development of the Antarctic sea urchin Sterechinus neumayeri was examined under two different culture regimes: one to simulate development near-bottom (demersal development) and the other to simulate the development of embryos in the water column (pelagic development). When embryos of both treatments reached the hatching blastula stage at 5 d post-fertilization (-1.5 degrees C), the blastulae that had undergone demersal development evidenced significant differences (by ANOVA or suitable non-parametric comparison) in the following: a thicker blastoderm layer (12%, P &lt; 0.001), higher ash-free dry weights (19%, P &lt; 0.01), lower mass-specific respiration rates (50%, P &lt; 0.001), higher incorporation rates of (35)S-methionine into protein (23%, P &lt; 0.003), and a differential pattern of protein synthesis. When embryos developed demersally, they remained in the jelly-coat material released with the eggs at spawning. Quantitative isolation of this jelly-coat material in S. neumayeri demonstrated that it contained a significant amount of organic matter, 115 ng ash-free dry mass per egg, equivalent to 17% of the egg's initial organic mass. Uptake of external nutrients during embryogenesis may be a significant component of the physiological energetics of this polar invertebrate by allowing the utilization of jelly-coat material released by a female during spawning.</t>
  </si>
  <si>
    <t>Univ Delaware, Coll Marine Studies, Lewes, DE 19958 USA; Univ So Calif, Dept Biol Sci, Los Angeles, CA 90089 USA</t>
  </si>
  <si>
    <t>University of Delaware; University of Southern California</t>
  </si>
  <si>
    <t>10.1007/s002270000364</t>
  </si>
  <si>
    <t>357PY</t>
  </si>
  <si>
    <t>WOS:000089511100004</t>
  </si>
  <si>
    <t>Agnew, DJ</t>
  </si>
  <si>
    <t>The illegal and unregulated fishery for toothfish in the Southern Ocean, and the CCAMLR catch documentation scheme</t>
  </si>
  <si>
    <t>illegal and unregulated fishing; Antarctic; toothfish; CCAMLR; catch documentation</t>
  </si>
  <si>
    <t>Fishing for toothfish in Antarctic waters starred in the 1980s. Large amounts of illegal and unregulated fishing were observed in the mid-1990s, reaching 4 times the regulated catch in 1997. The Commission for the Conservation of Antarctic Marine Living Resources has adopted a number of Conservation Measures to control this illegal fishing. The Catch Document Scheme, adopted in 1999, which aims to reduce unregulated fishing through trade-related measures, is described in detail. (C) 2000 Elsevier Science Ltd. All rights reserved.</t>
  </si>
  <si>
    <t>Univ London Imperial Coll Sci Technol &amp; Med, Royal Sch Mines, Huxley Sch Environm Earth Sci &amp; Engn, Renewable Resources Assessement Grp, London SW7 2BP, England</t>
  </si>
  <si>
    <t>Imperial College London</t>
  </si>
  <si>
    <t>Univ London Imperial Coll Sci Technol &amp; Med, Royal Sch Mines, Huxley Sch Environm Earth Sci &amp; Engn, Renewable Resources Assessement Grp, Prince Consort Rd, London SW7 2BP, England.</t>
  </si>
  <si>
    <t>d.agnew@ic.ac.uk</t>
  </si>
  <si>
    <t>1872-9460</t>
  </si>
  <si>
    <t>10.1016/S0308-597X(00)00012-9</t>
  </si>
  <si>
    <t>358QP</t>
  </si>
  <si>
    <t>WOS:000089569000001</t>
  </si>
  <si>
    <t>Ashley, JW; Velbel, MA</t>
  </si>
  <si>
    <t>Weathering-induced differences in fragmentation rates between H and L ordinary chondrites as an explanation for observed differences in Antarctic/non-Antarctic H/L ratios.</t>
  </si>
  <si>
    <t>Michigan State Univ, Dept Geol Sci, E Lansing, MI 48824 USA</t>
  </si>
  <si>
    <t>Michigan State University</t>
  </si>
  <si>
    <t>A22</t>
  </si>
  <si>
    <t>362PU</t>
  </si>
  <si>
    <t>WOS:000089787400014</t>
  </si>
  <si>
    <t>Floss, C; Crozaz, G; Mikouchi, T</t>
  </si>
  <si>
    <t>Sahara 99555: Trace-element compositions and relationship to Antarctic angrites.</t>
  </si>
  <si>
    <t>RARE-EARTH ELEMENTS</t>
  </si>
  <si>
    <t>Washington Univ, Space Sci Lab, St Louis, MO 63130 USA; Washington Univ, Dept Earth &amp; Planetary Sci, St Louis, MO 63130 USA; Univ Tokyo, Dept Earth &amp; Planetary Sci, Tokyo 1130033, Japan</t>
  </si>
  <si>
    <t>Washington University (WUSTL); Washington University (WUSTL); University of Tokyo</t>
  </si>
  <si>
    <t>Mikouchi, Takashi/AAY-7355-2021</t>
  </si>
  <si>
    <t>A53</t>
  </si>
  <si>
    <t>WOS:000089787400078</t>
  </si>
  <si>
    <t>Folco, L; Rastelli, N</t>
  </si>
  <si>
    <t>The meteorite collection of the Museo Nazionale dell'Antartide in Siena</t>
  </si>
  <si>
    <t>63rd Annual Meeting of the Meteoritical-Society</t>
  </si>
  <si>
    <t>AUG 28-SEP 01, 2000</t>
  </si>
  <si>
    <t>CHICAGO, IL</t>
  </si>
  <si>
    <t>The catalogue for the meteorite collection of Siena's Museo Nazionale dell'Antartide is presented. The collection primarily contains meteorites recovered from the Antarctic by the Italian National Programme for Antarctic Research but also includes specimens from various locations around the world. To date (April 2000), the collection totals 722 specimens. Of these, 533 specimens are classified, including 500 chondrites, 21 achondrites, 3 stony-iron meteorites, and 9 iron meteorites.</t>
  </si>
  <si>
    <t>Univ Siena, Museo Nazl Antartide, Via Laterina 8, I-53100 Siena, Italy</t>
  </si>
  <si>
    <t>Folco, L (corresponding author), Univ Siena, Museo Nazl Antartide, Via Laterina 8, I-53100 Siena, Italy.</t>
  </si>
  <si>
    <t>folco@unisi.it</t>
  </si>
  <si>
    <t>Folco, Luigi/AAA-6351-2020; Folco, Luigi/AAB-8586-2021</t>
  </si>
  <si>
    <t>1086-9379</t>
  </si>
  <si>
    <t>1945-5100</t>
  </si>
  <si>
    <t>A189</t>
  </si>
  <si>
    <t>A198</t>
  </si>
  <si>
    <t>10.1111/j.1945-5100.2000.tb01795.x</t>
  </si>
  <si>
    <t>WOS:000089787400325</t>
  </si>
  <si>
    <t>Genge, MJ; Engrand, C; Grady, MM</t>
  </si>
  <si>
    <t>The parent bodies of thermally altered fine-grained micrometeorites: Comparisons with CI and CM fusion crusts.</t>
  </si>
  <si>
    <t>ANTARCTIC MICROMETEORITES</t>
  </si>
  <si>
    <t>Nat Hist Museum, Dept Mineral, London SW7 5BD, England; Ctr Spectrometrie Nucl &amp; Spectrometrie Masse, F-91405 Orsay, France</t>
  </si>
  <si>
    <t>Natural History Museum London; Universite Paris Saclay</t>
  </si>
  <si>
    <t>A59</t>
  </si>
  <si>
    <t>WOS:000089787400088</t>
  </si>
  <si>
    <t>Genge, MJ; Grady, MM</t>
  </si>
  <si>
    <t>Chondrules in the parent asteroids of micrometeorites.</t>
  </si>
  <si>
    <t>Nat Hist Museum, Dept Mineral, London SW7 5BD, England</t>
  </si>
  <si>
    <t>Natural History Museum London</t>
  </si>
  <si>
    <t>A58</t>
  </si>
  <si>
    <t>WOS:000089787400087</t>
  </si>
  <si>
    <t>Graham, GA; Kearsley, AT; Wright, IP; Grady, MM; Pillinger, CT</t>
  </si>
  <si>
    <t>Carbonates in the Los Angeles 001 meteorite.</t>
  </si>
  <si>
    <t>ANTARCTIC METEORITES; CHONDRITES</t>
  </si>
  <si>
    <t>Open Univ, Planetary Sci Res Inst, Milton Keynes MK7 6AA, Bucks, England; Oxford Brookes Univ, Space Sci Res Unit, Sch Biol &amp; Mol Sci, Oxford OX3 0BP, England; Nat Hist Museum, Dept Mineral, London SW7 5BD, England</t>
  </si>
  <si>
    <t>Open University - UK; Oxford Brookes University; Natural History Museum London</t>
  </si>
  <si>
    <t>A63</t>
  </si>
  <si>
    <t>WOS:000089787400096</t>
  </si>
  <si>
    <t>Misawa, K; Yamazaki, E; Sawada, S; Sekine, T; Nakamura, N</t>
  </si>
  <si>
    <t>Incorporation of radiogenic lead into plagioclase during shock metamorphism.</t>
  </si>
  <si>
    <t>Natl Inst Polar Res, Antarctic Meteorite Res Ctr, Tokyo 1738515, Japan; Kobe Univ, Dept Earth &amp; Planetary Sci, Kobe, Hyogo 6578501, Japan; Natl Inst Res Inorgan Mat, Tsukuba, Ibaraki 3050044, Japan</t>
  </si>
  <si>
    <t>Research Organization of Information &amp; Systems (ROIS); National Institute of Polar Research (NIPR) - Japan; Kobe University; National Institute for Materials Science</t>
  </si>
  <si>
    <t>A111</t>
  </si>
  <si>
    <t>WOS:000089787400189</t>
  </si>
  <si>
    <t>Ohta, M; Ninagawa, K; Toyoda, S; Imae, N; Kojima, H</t>
  </si>
  <si>
    <t>Thermoluminescence studies of Japanese Antarctic ordinary chondrites.</t>
  </si>
  <si>
    <t>Okayama Univ Sci, Dept Appl Phys, Okayama 700, Japan; Natl Inst Polar Res, Tokyo 173, Japan</t>
  </si>
  <si>
    <t>Okayama University of Science; Research Organization of Information &amp; Systems (ROIS); National Institute of Polar Research (NIPR) - Japan</t>
  </si>
  <si>
    <t>A122</t>
  </si>
  <si>
    <t>A123</t>
  </si>
  <si>
    <t>WOS:000089787400211</t>
  </si>
  <si>
    <t>Osawa, T; Nagao, K; Kagi, H</t>
  </si>
  <si>
    <t>Noble gas compositions and infrared absorption spectra for individual Antarctic micrometeorites.</t>
  </si>
  <si>
    <t>Univ Tokyo, Earthquake Chem Lab, Grad Sch Sci, Tokyo 1130033, Japan</t>
  </si>
  <si>
    <t>University of Tokyo</t>
  </si>
  <si>
    <t>Kagi, Hiroyuki/G-4915-2014</t>
  </si>
  <si>
    <t>A124</t>
  </si>
  <si>
    <t>WOS:000089787400213</t>
  </si>
  <si>
    <t>Tomiyama, T; Yamaguchi, A; Misawa, K; Kojima, H</t>
  </si>
  <si>
    <t>Petrology of Allan Hills 77252: An L3-6 polymict chondritic breccia.</t>
  </si>
  <si>
    <t>Grad Univ Adv Studies, Sch Math &amp; Phys Sci, Dept Polar Sci, Tokyo 1738515, Japan; Natl Inst Polar Res, Antarctic Met, Tokyo 1738515, Japan</t>
  </si>
  <si>
    <t>Graduate University for Advanced Studies - Japan; Research Organization of Information &amp; Systems (ROIS); National Institute of Polar Research (NIPR) - Japan</t>
  </si>
  <si>
    <t>A157</t>
  </si>
  <si>
    <t>A158</t>
  </si>
  <si>
    <t>WOS:000089787400280</t>
  </si>
  <si>
    <t>Yamaguchi, A</t>
  </si>
  <si>
    <t>Spinels in basaltic eucrites: Implication for crystallization and metamorphic history.</t>
  </si>
  <si>
    <t>Inst Nat Polar Res, Antarctic Meteorite Res Ctr, Tokyo 1738515, Japan</t>
  </si>
  <si>
    <t>Research Organization of Information &amp; Systems (ROIS); National Institute of Polar Research (NIPR) - Japan</t>
  </si>
  <si>
    <t>A174</t>
  </si>
  <si>
    <t>WOS:000089787400310</t>
  </si>
  <si>
    <t>Spiegel, FW; Stephenson, SL</t>
  </si>
  <si>
    <t>Protostelids of Macquarie Island</t>
  </si>
  <si>
    <t>MYCOLOGIA</t>
  </si>
  <si>
    <t>Antarctic; biogeography; Eumycetozoa; slime molds</t>
  </si>
  <si>
    <t>This is the first report of protostelids from Macquarie Island a small, oceanic island located 1000 km southeast of Tasmania, just north of the Antarctic Convergence. It is the southernmost locality from which they have been recovered. Litter samples collected under stands of Pleurophyllum hookeri and of Acaena spp. were plated out using standard techniques for protostelid identification. Six species were identified by sporocarp morphology using light microscopy, Protostelium mycophaga, P. nocturnum, Tychospororium acutostipes, Schizoplasmodiopsis pseudoendospora, Sc. amoeboidea, and Soliformovum irregularis. Amoebal and prespore cell morphology were used whenever necessary to corroborate identification. It is of interest that most of these six species rarely occur in litter in temperate ecosystems and that the Macquarie Island samples lack any typical litter species such as Nematostelium spp.</t>
  </si>
  <si>
    <t>Univ Arkansas, Dept Biol Sci, Fayetteville, AR 72701 USA; Fairmont State Coll, Dept Biol, Fairmont, WV 26544 USA</t>
  </si>
  <si>
    <t>University of Arkansas System; University of Arkansas Fayetteville</t>
  </si>
  <si>
    <t>Spiegel, FW (corresponding author), Univ Arkansas, Dept Biol Sci, Fayetteville, AR 72701 USA.</t>
  </si>
  <si>
    <t>NEW YORK BOTANICAL GARDEN</t>
  </si>
  <si>
    <t>BRONX</t>
  </si>
  <si>
    <t>PUBLICATIONS DEPT, BRONX, NY 10458 USA</t>
  </si>
  <si>
    <t>0027-5514</t>
  </si>
  <si>
    <t>Mycologia</t>
  </si>
  <si>
    <t>10.2307/3761580</t>
  </si>
  <si>
    <t>Mycology</t>
  </si>
  <si>
    <t>357PZ</t>
  </si>
  <si>
    <t>WOS:000089511200005</t>
  </si>
  <si>
    <t>Falcon-Lang, HJ</t>
  </si>
  <si>
    <t>A method to distinguish between woods produced by evergreen and deciduous coniferopsids on the basis of growth ring anatomy: A new palaeoecological tool</t>
  </si>
  <si>
    <t>PALAEONTOLOGY</t>
  </si>
  <si>
    <t>growth rings; conifer wood; palaeoclimate; evergreen; deciduous</t>
  </si>
  <si>
    <t>LEAF LONGEVITY</t>
  </si>
  <si>
    <t>A method is outlined in which woods produced by deciduous and evergreen coniferopsids may he distinguished from one another on the basis of a quantitative analysis of growth ring anatomy. In this method the diameter of successive tracheid cells was measured across growth rings in modem coniferopsid woods, viewed using standard transverse anatomical sections. The cumulative algebraic sum of each cell's deviation from the mean was then calculated for each growth ring increment and plotted as a zero-trending curve (CSDM curve). Deciduous conifer and ginkgo species dominantly possess symmetrical or left-skewed CSDM curves whilst evergreen conifer species dominantly possess right skewed CSDM curves. These data suggest that in most cases it may be possible to distinguish between evergreen and deciduous fossil coniferopsid species using wood anatomical characteristics, thus providing important insight into coniferopsid palaeoecology.</t>
  </si>
  <si>
    <t>British Antarctic Survey, Cambridge CB3 OET, England</t>
  </si>
  <si>
    <t>British Antarctic Survey, High Cross,Madingley Rd, Cambridge CB3 OET, England.</t>
  </si>
  <si>
    <t>HJFL@pcmail.nerc-bas.ac.uk</t>
  </si>
  <si>
    <t>Falcon-Lang, Howard J/D-8465-2011</t>
  </si>
  <si>
    <t>0031-0239</t>
  </si>
  <si>
    <t>1475-4983</t>
  </si>
  <si>
    <t>10.1111/1475-4983.00149</t>
  </si>
  <si>
    <t>373NA</t>
  </si>
  <si>
    <t>WOS:000165294500008</t>
  </si>
  <si>
    <t>Weihaupt, JG; Stuart, AW</t>
  </si>
  <si>
    <t>Future global coastline changes implied in the historic archives</t>
  </si>
  <si>
    <t>PERIODICUM BIOLOGORUM</t>
  </si>
  <si>
    <t>Conference on Responsible Coastal Zone Management - The Challenge of the 21st Century (LITTORAL 2000)</t>
  </si>
  <si>
    <t>CROATIA</t>
  </si>
  <si>
    <t>ANTARCTIC ICE-SHEET; ABRUPT CLIMATE-CHANGE; CO2 CONCENTRATION; NORTH-ATLANTIC; MODEL; COLLAPSE</t>
  </si>
  <si>
    <t>Univ Colorado, Dept Geol, Denver, CO 80217 USA; Univ N Carolina, Dept Geog &amp; Earth Sci, Charlotte, NC 28223 USA</t>
  </si>
  <si>
    <t>University of Colorado System; University of Colorado Denver; University of North Carolina; University of North Carolina Charlotte</t>
  </si>
  <si>
    <t>Weihaupt, JG (corresponding author), Univ Colorado, Dept Geol, Denver, CO 80217 USA.</t>
  </si>
  <si>
    <t>ZAGREB</t>
  </si>
  <si>
    <t>HRVATSKO PRIRODOSLOVNO DRUSTVO ILICA 16/111, 41000 ZAGREB, CROATIA</t>
  </si>
  <si>
    <t>0031-5362</t>
  </si>
  <si>
    <t>PERIOD BIOL</t>
  </si>
  <si>
    <t>Period. Biol.</t>
  </si>
  <si>
    <t>387WY</t>
  </si>
  <si>
    <t>WOS:000166145900057</t>
  </si>
  <si>
    <t>Phillips, RA; Hamer, KC</t>
  </si>
  <si>
    <t>Postnatal development of northern fulmar chicks, Fulmarus glacialis</t>
  </si>
  <si>
    <t>BODY-COMPOSITION; FASTING CAPABILITY; STORM-PETREL; FAT RESERVES; MEAL SIZE; GROWTH; ENERGETICS; BUDGET; DIET</t>
  </si>
  <si>
    <t>The slow growth and large fat stores characteristic of many pelagic seabird chicks were generally assumed to reflect infrequent and unpredictable food provisioning by parents. Much less attention has been focused on the importance of intrinsic physiological processes in shaping patterns of development. In this study, we examined postnatal growth and changes in water content of different organs in fulmar chicks, Fulmarus glacialis, from Fair Isle, United Kingdom. After correcting for body size, mass growth rate was as high as in inshore-feeding species, which did not support the notion of an external constraint on growth imposed by the unpredictability of pelagic prey. Pectoral muscles and plumage grew more rapidly than other tissues. Pectorals also had a high water index, probably indicating slower maturation compared with leg muscles, which need to generate heat earlier on to free adults from brooding requirements. Lean dry mass of liver, kidney, and gut decreased markedly toward fledging, presumably because of high energetic costs of maintaining large metabolic machinery in older chicks and analogous to the situation in adult waders before migration. These results suggest that the general pattern of development of fulmars may be linked to changes in resource allocation as chicks grow and possibly a compromise at the tissue level between cell division and the attainment of mature function.</t>
  </si>
  <si>
    <t>Univ Durham, Dept Biol Sci, Durham DH1 3LE, England</t>
  </si>
  <si>
    <t>Durham University</t>
  </si>
  <si>
    <t>rap@bas.ac.uk</t>
  </si>
  <si>
    <t>1537-5293</t>
  </si>
  <si>
    <t>10.1086/317753</t>
  </si>
  <si>
    <t>381KA</t>
  </si>
  <si>
    <t>WOS:000165760900009</t>
  </si>
  <si>
    <t>Hayward, SAL; Worland, MR; Bale, JS; Convey, P</t>
  </si>
  <si>
    <t>Temperature and the hygropreference of the Arctic Collembolan Onychiurus arcticus and mite Lauroppia translamellata</t>
  </si>
  <si>
    <t>PHYSIOLOGICAL ENTOMOLOGY</t>
  </si>
  <si>
    <t>Arctic; Collembola; dispersal; mite; relative humidity; temperature</t>
  </si>
  <si>
    <t>COLD TOLERANCE; SOIL MICROARTHROPODS; SUMMER TEMPERATURES; MORTALITY FACTOR; WATER-LOSS; TULLBERG; DEHYDRATION; HARDINESS; SPITSBERGEN; ARTHROPODS</t>
  </si>
  <si>
    <t>The hygropreference of adult Onychiurus arcticus (Tullberg) was investigated over 2 h at 0, 10 and 20 degrees C, along humidity gradients (12-98% RH) established using different salt solutions. At all temperatures 0. arcticus preferred the highest humidity (98% KH). At 0 and 20 degrees C, saturated conditions were preferred to 98% RH. The hygropreference of the mite Lauroppia translamellata (Willmann) was also assessed at 20 degrees C, and no clear RH preference was observed. This species survived the loss of 24.9 +/- 2.1% of its initial water content when held for 24 h at 20 degrees C and 12% RH. A range of assays designed to eliminate the influence of thigmotactic behaviour and population clumping pen-nit exclusion of these factors as being responsible for the observed results. The mean initial water content of O. arcticus samples (71.7 +/- 10.9, 73.4 +/- 4.0 and 73.8 +/- 23.5% at 0, 10 and 20 degrees C, respectively) did not differ significantly between temperatures, indicating that the results were not influenced by differences in initial hydrated state. The percentage water loss of individuals within the gradient increased with temperature, and differed significantly between regimes. The ecological significance of the observed humidity preferences are discussed.</t>
  </si>
  <si>
    <t>Hayward, SAL (corresponding author), Univ Birmingham, Sch Biosci, Birmingham B15 2TT, W Midlands, England.</t>
  </si>
  <si>
    <t>0307-6962</t>
  </si>
  <si>
    <t>PHYSIOL ENTOMOL</t>
  </si>
  <si>
    <t>Physiol. Entomol.</t>
  </si>
  <si>
    <t>10.1046/j.1365-3032.2000.00191.x</t>
  </si>
  <si>
    <t>359BT</t>
  </si>
  <si>
    <t>WOS:000089592200010</t>
  </si>
  <si>
    <t>Wynn-Williams, DD; Edwards, HGM</t>
  </si>
  <si>
    <t>Antarctic ecosystems as models for extraterrestrial surface habitats</t>
  </si>
  <si>
    <t>PLANETARY AND SPACE SCIENCE</t>
  </si>
  <si>
    <t>24th General Assembly of the European-Geophysical-Society</t>
  </si>
  <si>
    <t>APR 19-23, 1999</t>
  </si>
  <si>
    <t>FINGERPRINTING PETROPORPHYRIN STRUCTURES; RESONANCE RAMAN-SPECTRA; ULTRAVIOLET-RADIATION; EARLY MARS; VIBRATIONAL SPECTROSCOPY; IN-SITU; BIOGEOCHEMISTRY; LIFE; WATER; BIOMOLECULES</t>
  </si>
  <si>
    <t>Surface habitats in Antarctic deserts are near the limits of life on Earth and resemble those hypothesized for early Mars. Cyanobacteria dominate the transient riverbeds, stromatolitic sediments in ice-covered lakes, and endolithic communities in translucent rock. There is still no direct evidence of photosynthetic life on early Mars, but cyanobacteria are amongst the earliest microbes detectable in the fossil record for analogous habitats on Earth. Key biomolecules persist in Antarctic microbial habitats, even after extinction by excessive law temperatures, desiccation and UV-B stress within the Ozone Hole. Pigments (or their fossil residues), such as chlorophyll and the UV-protectants scytonemin, carotene and quinones, are good biomarkers. To show not only their presence but also their micro-spatial distribution in situ, we describe the use of FT-Raman spectroscopy with 1064 nm excitation to avoid autofluorescence from the pigments. We report not only the diversity of biomolecules that we have diagnosed from their unique Raman spectra of Antarctic cyanobacterial communities, but also their functional stratification in endolithic communities. Our analyses of Antarctic habitats show the potential of this remote, non-intrusive technique to probe for buried biomolecules on future Mars missions and in Antarctic Lake Vostok, &gt; 4 lan beneath the Central Ice Sheet, with implications for the putative analogous sub-ice ocean on Europa. (C) 2000 Elsevier Science Ltd. All rights reserved.</t>
  </si>
  <si>
    <t>British Antarctic Survey, NERC, Cambridge CB3 0ET, England; Univ Bradford, Dept Chem &amp; Forens Sci, Bradford BD7 1DP, W Yorkshire, England</t>
  </si>
  <si>
    <t>UK Research &amp; Innovation (UKRI); Natural Environment Research Council (NERC); NERC British Antarctic Survey; University of Bradford</t>
  </si>
  <si>
    <t>0032-0633</t>
  </si>
  <si>
    <t>PLANET SPACE SCI</t>
  </si>
  <si>
    <t>Planet Space Sci.</t>
  </si>
  <si>
    <t>10.1016/S0032-0633(00)00080-5</t>
  </si>
  <si>
    <t>372YD</t>
  </si>
  <si>
    <t>WOS:000165260900007</t>
  </si>
  <si>
    <t>Bischof, K; Hanelt, D; Wiencke, C</t>
  </si>
  <si>
    <t>Effects of ultraviolet radiation on photosynthesis and related enzyme reactions of marine macroalgae</t>
  </si>
  <si>
    <t>PLANTA</t>
  </si>
  <si>
    <t>macroalgae; photosynthesis; ribulose-1; 5-bisphosphate carboxylase/oxygenase; UV radiation</t>
  </si>
  <si>
    <t>UV-B RADIATION; CHLOROPHYLL FLUORESCENCE; ANTARCTIC PHYTOPLANKTON; CHLOROPLAST MEMBRANES; ABSORBING COMPOUNDS; ELECTRON-TRANSPORT; ARCTIC MACROALGAE; CO2 ASSIMILATION; BRASSICA-NAPUS; PROTEIN DAMAGE</t>
  </si>
  <si>
    <t>Changes in physiological parameters related to photosynthesis were studied in five macroalgal species from Spitsbergen (Monostroma arcticum, Laminaria solidungula, Alaria esculenta, Palmaria palmata, Phycodrys rubens) during a 72-h exposure to UV radiation. Maximal quantum yield of photochemistry (Fv/Fm) and maximal electron transport rate (ETRmax) were measured with a pulse-amplitude-modulated fluorometer; the activity of the Calvin cycle enzymes ribulose-1,5-bisphosphate carboxylase/oxygenase (Rubisco) and glyceraldehyde-3-phosphate dehydrogenase (G3PDH) were estimated using a photometric test. Proteins of crude extracts were separated by SDS gel electrophoresis and changes in cellular concentrations of Rubisco were determined, Moreover, the concentration of chlorophyll a (Chl a), and protein content, were measured photometrically. In all species, Chl a content, maximal quantum yield as well as ETRmax decreased during the UV treatment. Changes in ETRmax were related to the changes in the overall activity of Rubisco. Analysis of SDS gels showed that in P. rubens, L. solidungula, M. arcticum and A. esculenta decreasing Rubisco activity partly resulted from a degradation of the enzyme. However, in A. esculenta, the formation of a high-molecular-weight polypeptide was observed. In all species, the activity of Rubisco was more strongly impaired than that of G3PDH. Exposure to UV resulted in loss of total protein only in the deepwater species L. solidungula and P. rubens. The different sensitivities to UV exposure of the species tested reflect their zonation pattern in the field.</t>
  </si>
  <si>
    <t>Fdn Alfred Wegener Inst, D-27570 Bremerhaven, Germany</t>
  </si>
  <si>
    <t>Fdn Alfred Wegener Inst, Handelshafen 12, D-27570 Bremerhaven, Germany.</t>
  </si>
  <si>
    <t>kbischof@awi-bremerhaven.de</t>
  </si>
  <si>
    <t>Hanelt, Dieter/E-6659-2017</t>
  </si>
  <si>
    <t>Bischof, Kai/0000-0002-4497-1920</t>
  </si>
  <si>
    <t>0032-0935</t>
  </si>
  <si>
    <t>1432-2048</t>
  </si>
  <si>
    <t>Planta</t>
  </si>
  <si>
    <t>10.1007/s004250000313</t>
  </si>
  <si>
    <t>357TD</t>
  </si>
  <si>
    <t>WOS:000089516200013</t>
  </si>
  <si>
    <t>Pakhomov, EA; Ansorge, IJ; Froneman, PW</t>
  </si>
  <si>
    <t>Variability in the inter-island environment of the Prince Edward Islands (Southern ocean)</t>
  </si>
  <si>
    <t>MIGRATING ZOOPLANKTON; SEAMOUNT; DYNAMICS; TOPOGRAPHY; COMMUNITY; FRONTS</t>
  </si>
  <si>
    <t>Variability in the oceanographic parameters and macrozooplankton and micronekton composition, densities and distributional patterns were investigated during a repeat survey conducted between the Prince Edward Islands in April 1998. Results of this study demonstrated the occurrence of pronounced water pulses along the inter-island trench. The location of the Subantarctic Front to the north of the island plateau, through its interactions with the island group, appeared to have a marked effect on the mesoscale dynamics of physical and biological parameters between and around the islands. Seawater temperature and salinity accounted for &gt;40% of the variation in the zooplankton distribution during the trench studies. A total of 41 macroplankton and micronekton taxa, consisting of subantarctic, subtropical and Antarctic species, were identified. Numerical analyses revealed two major groupings of stations corresponding to an offshore and inshore region. Although there was no evidence for quantitative differences in macroplankton densities between the inshore surveys, offshore plankton biomass was at least three- to eightfold higher than during the trench surveys. The importance of water pulses in carrying stocks of large plankton between the islands appeared to be minimal, at least during the time when the investigation took place.</t>
  </si>
  <si>
    <t>Rhodes Univ, Dept Zool &amp; Entomol, So Ocean Grp, ZA-6140 Grahamstown, South Africa; Univ Cape Town, Dept Oceanog, ZA-7701 Cape Town, South Africa</t>
  </si>
  <si>
    <t>Pakhomov, EA (corresponding author), Rhodes Univ, Dept Zool &amp; Entomol, So Ocean Grp, POB 94, ZA-6140 Grahamstown, South Africa.</t>
  </si>
  <si>
    <t>Froneman, William/GLS-0460-2022; Froneman, William/C-9085-2012; ANSORGE, ISABELLE/AAY-7396-2020</t>
  </si>
  <si>
    <t>10.1007/s003000000125</t>
  </si>
  <si>
    <t>352HD</t>
  </si>
  <si>
    <t>WOS:000089208600001</t>
  </si>
  <si>
    <t>Eggert, A; Wiencke, C</t>
  </si>
  <si>
    <t>Adaptation and acclimation of growth and photosynthesis of five Antarctic red algae to low temperatures</t>
  </si>
  <si>
    <t>KING-GEORGE-ISLAND; LONG-TERM CULTURE; LAMINARIA-SACCHARINA; THERMAL-ACCLIMATION; DARK RESPIRATION; INORGANIC CARBON; MACROALGAE; REQUIREMENTS; LIGHT; RHODOPHYTA</t>
  </si>
  <si>
    <t>Temperature requirements for growth, photosynthesis and dark respiration were determined for five Antarctic red algal species. After acclimation, the stenothermal species Gigartina skottsbergii and Ballia callitricha grew at 0 or up to 5 degrees C, respectively; the eurythermal species Kallymenia antarctica, Gymnogongrus antarcticus and Phyllophora ahnfeltioides grew up to 10 degrees C. The temperature optima of photosynthesis were between 10 and 15 degrees C in the stenothermal species and between 15 and 25 degrees C in the eurythermal species, irrespective of the growth temperature. This shows that the temperature optima for photosynthesis are located well below the optima from species of other biogeographical regions, even from the Arctic. Respiratory rates rose with increasing temperatures. In contrast to photosynthesis, no temperature optimum was evident between 0 and 25 degrees C. Partial acclimation of photosynthetic capacity to growth temperature was found in two species. B. callitricha and Gymnogongrus antarcticus acclimate to 0 degrees C, and 5 and 0 degrees C, respectively. But acclimation did in no case lead to an overall shift in the temperature optimum of photosynthesis. B. callitricha and Gymnogongrus antarcticus showed acclimation of respiration to 5 degrees C, and P. ahnfeltioides to 5 and 10 degrees C, resulting in a temperature independence of respiration when measured at growth temperature. With respect to the acclimation potential of the species, no distinction can be made between the stenothermal versus the eurythermal group. (Net)photosynthetic capacity:respiration (P:R) ratios showed in all species highest values at 0 degrees C and decreased continuously to values lower than 1.0 at 25 degrees C. In turn, the low P:R ratios at higher temperatures are assumed to determine the upper temperature growth limit of the studied species. Estimated daily carbon balance reached values between 4.1 and 30.7 mg C g(-1) FW day(-1) at 0 degrees C, 16:8 h light/dark cycle, 12-40 mu mol m(-2) s(-1).</t>
  </si>
  <si>
    <t>Eggert, A (corresponding author), Univ Groningen, Dept Marine Biol, POB 14, NL-9750 AA Haren, Netherlands.</t>
  </si>
  <si>
    <t>Eggert, Anja/HJY-8686-2023</t>
  </si>
  <si>
    <t>Eggert, Anja/0000-0003-3893-6851</t>
  </si>
  <si>
    <t>10.1007/s003000000130</t>
  </si>
  <si>
    <t>WOS:000089208600003</t>
  </si>
  <si>
    <t>Ligowski, R</t>
  </si>
  <si>
    <t>Benthic feeding by krill, Euphausia superba Dana, in coastal waters off West Antarctica and in Admiralty Bay, South Shetland Islands</t>
  </si>
  <si>
    <t>ICE; PENINSULA; PHYTOPLANKTON; COMMUNITY; GROWTH; WINTER</t>
  </si>
  <si>
    <t>Diatoms in the food of krill caught in the summer in coastal waters close to the South Shetland Islands and in the summer and three winters in Admiralty Bay, King George Island were investigated. The diatoms were used as indicators of sources of krill food. Principal component analysis divided the diatom taxa into two groups, one being pelagic diatoms and from the food of krill in coastal waters, and the other being benthic diatoms and taxa from the food of krill in Admiralty Bay. All pelagic taxa of diatoms were consumed by krill. In the summer in coastal waters, benthic diatoms in krill food originated from the sublittoral. In the summer in Admiralty Bay, besides phytoplankton, diatoms were noted from the sublittoral and littoral in the food of krill. However, in the winter mostly sublittoral and epiphytic diatoms were present in krill food.</t>
  </si>
  <si>
    <t>Univ Lodz, Lab Polar Biol &amp; Oceanobiol, PL-90237 Lodz, Poland; Polish Acad Sci, Dept Antarctic Biol, PL-02141 Warsaw, Poland</t>
  </si>
  <si>
    <t>University of Lodz; Polish Academy of Sciences</t>
  </si>
  <si>
    <t>Ligowski, R (corresponding author), Univ Lodz, Lab Polar Biol &amp; Oceanobiol, Banacha 12-16, PL-90237 Lodz, Poland.</t>
  </si>
  <si>
    <t>10.1007/s003000000131</t>
  </si>
  <si>
    <t>WOS:000089208600004</t>
  </si>
  <si>
    <t>Morales-Nin, B; Moranta, J; Balguerias, E</t>
  </si>
  <si>
    <t>Growth and age validation in high-Antarctic fish</t>
  </si>
  <si>
    <t>REPRODUCTION</t>
  </si>
  <si>
    <t>The growth of three demersal species dominant in biomass and abundance in the Weddell Sea, Chionodraco myersi (channichthyid), Trematomus eulepidotus (nototheniid) and Dolloidraco longedorsalis (artedidraconid), was, studied on specimens caught in summer. Ages were determined using ground and polished otolith sections and an image analysis system to measure the otolith radius and distances of each growth increment to the otolith core. Ageing precision and accuracy have been estimated. Indirect validation methods, based on the increment growth pattern, were applied to support the annual periodicity of the increments. Due to the lack of some age classes, back-calculated age-length keys were determined and used to fit the von Bertalanffy growth parameters by sex and species. The determined values showed sexual dimorphism, with females having faster growth rates, except in D. longedorsalis. The growth performance index was between 1 and 2, as in other high-Antarctic fish. For T. eulepidotus, age and growth data were available, but this is the first report for C. myersi and D. longedorsalis. Moreover, this is the first time that accuracy and precision have been estimated for high-Antarctic fish age determination.</t>
  </si>
  <si>
    <t>CSIC, UIB, Inst Mediterrani Estudis Avancats, Esporles 07090, Mallorca, Spain; IEO, Ctr Oceanog Canarias, Tenerife, Spain</t>
  </si>
  <si>
    <t>Universitat de les Illes Balears; Consejo Superior de Investigaciones Cientificas (CSIC); ATTITUS Educacao; Spanish Institute of Oceanography</t>
  </si>
  <si>
    <t>Morales-Nin, B (corresponding author), CSIC, UIB, Inst Mediterrani Estudis Avancats, Miguel Marques 21, Esporles 07090, Mallorca, Spain.</t>
  </si>
  <si>
    <t>ieabmn@clust.uib.es</t>
  </si>
  <si>
    <t>Moranta, Joan/B-5522-2008</t>
  </si>
  <si>
    <t>Moranta, Joan/0000-0002-9814-0735; Morales-Nin, Beatriz/0000-0002-7264-0918</t>
  </si>
  <si>
    <t>10.1007/s003000000132</t>
  </si>
  <si>
    <t>WOS:000089208600005</t>
  </si>
  <si>
    <t>Scott, FJ; Davidson, AT; Marchant, HJ</t>
  </si>
  <si>
    <t>Seasonal variation in plankton, submicrometre particles and size-fractionated dissolved organic carbon in Antarctic coastal waters</t>
  </si>
  <si>
    <t>CATALYTIC-OXIDATION METHOD; ICE MICROBIAL COMMUNITIES; WESTERN BRANSFIELD STRAIT; MOLECULAR-WEIGHT; SEA-ICE; SOUTHERN-OCEAN; SURFACE WATERS; NORTH-ATLANTIC; MATTER; PHYTOPLANKTON</t>
  </si>
  <si>
    <t>Concentrations of plankton, suspended particles 0.74-87 mu m equivalent spherical diameter and dissolved organic carbon (DOC) were measured from May to February at an Antarctic coastal site. Bacteria-sized particles 0.74-1 mu m diameter, and bacterial cells and heterotrophic protists all exhibited a seasonal minimum during winter and maxima in summer. Bacteria composed &lt;10% of the bacteria-sized particles. Release of autotrophic protists from the ice caused water column biomass of autotrophs to reach maximum concentrations in October and November, but maximum cell concentration in the water column was reached in January. Microheterotroph biomass weakly reflected the release of the ice algal community but reached maximum concentration during the water column bloom in January. Total DOC concentrations varied from 0.36 mg C l(-1) in July to 3.10 mg C l(-1) in October, with a yearly average of 1.51 mg C l(-1). Ultrafiltration of DOC revealed that the molecular weight composition of the DOC differed greatly through the year. DOC &lt;5 kDa molecular weight reached a maximum of 1.25 mg C l(-1) in October and accounted for up to 60% of total DOC in July. Concentrations of high molecular weight DOC (&gt;100 kDa) were highest in July and November, with the DOC (100 kDa-0.5 mu m) fraction reaching a maximum of 1.22 mg C l(-1) in November and composing 82% of the total DOC in January. Wet chemical oxidation and high-temperature catalytic oxidation organic carbon analyses were compared. Good correlation was observed between methods during summer but no significant correlation existed in winter, indicating that winter DOC may be refractory.</t>
  </si>
  <si>
    <t>Scott, FJ (corresponding author), Australian Antarctic Div, Channel Highway, Kingston, Tas 7050, Australia.</t>
  </si>
  <si>
    <t>10.1007/s003000000134</t>
  </si>
  <si>
    <t>WOS:000089208600006</t>
  </si>
  <si>
    <t>Sjöling, S; Cowan, DA</t>
  </si>
  <si>
    <t>Detecting human bacterial contamination in Antarctic soils</t>
  </si>
  <si>
    <t>ENTERIC BACTERIA; ESCHERICHIA-COLI; MCMURDO-STATION; PCR; POLLUTION; SURVIVAL; WATER</t>
  </si>
  <si>
    <t>The presence of non-indigenous microbial contaminants resulting from human faecal contamination of old and currently occupied base and field camp sites in South Victoria Land, Antarctica, was assessed by PCR amplification of extracted soil DNA using species-specific PCR primers. Positive controls (samples recovered from the environs of Scott Base, including the sewage outfall) gave strong signals with Escherichia coli primers whereas Clostridium clostridiiforme primers yielded a signal only with the sewage outfall sample. A comparison was made of PCR amplification results from samples from the abandoned Canada Glacier camp site, the Lake Fryxell summer camp site, the Cape Bird Adelie penguin colony and pristine sites from relatively inaccessible regions of the Taylor Valley. Results indicated a possible residual level of E. coli contamination in the abandoned Canada Glacier camp site, but no significant contamination of the currently occupied Lake Fryxell camp site. These data may provide indirect evidence for improved awareness and standards of waste handling and disposal over the past two decades of Dry Valley field research.</t>
  </si>
  <si>
    <t>UCL, Dept Biochem &amp; Mol Biol, London WC1E 6BT, England</t>
  </si>
  <si>
    <t>Cowan, DA (corresponding author), UCL, Dept Biochem &amp; Mol Biol, Gower St, London WC1E 6BT, England.</t>
  </si>
  <si>
    <t>don.cowan@ucl.ac.uk</t>
  </si>
  <si>
    <t>Cowan, Donald A/E-3991-2012</t>
  </si>
  <si>
    <t>Cowan, Donald A/0000-0001-8059-861X</t>
  </si>
  <si>
    <t>10.1007/s003000000137</t>
  </si>
  <si>
    <t>WOS:000089208600007</t>
  </si>
  <si>
    <t>Wilson, WH; Lane, D; Pearce, DA; Ellis-Evans, JC</t>
  </si>
  <si>
    <t>Transmission electron microscope analysis of virus-like particles in the freshwater lakes of Signy Island, Antarctica</t>
  </si>
  <si>
    <t>ABUNDANCE; MARINE; PHYTOPLANKTON; DIVERSITY; DYNAMICS; BLOOM</t>
  </si>
  <si>
    <t>Water samples from a range of fresh-water Antarctic lakes on Signy Island (South Orkney Islands: 60 degrees 45'S, 45 degrees 38'W) were examined for the presence of virus-like particles (VLPs) during the 1998/1999 field season. It was discovered that VLPs were ubiquitous, morphologically diverse and abundant, with high concentrations ranging from 4.9 x 10(6) ml(-1) to 3.1 x 10(7) ml(-1). Likely hosts include bacteria, cyanobacteria and eukaryotic algae. In addition, an unusually large virus morphotype was observed with a head diameter 370 x 330 nm and a tail 1.3 mu m long.</t>
  </si>
  <si>
    <t>Marine Biol Assoc United Kingdom Lab, Plymouth PL1 2PB, Devon, England; British Antarctic Survey, Cambridge CB3 0ET, England</t>
  </si>
  <si>
    <t>Marine Biological Association United Kingdom; UK Research &amp; Innovation (UKRI); Natural Environment Research Council (NERC); NERC British Antarctic Survey</t>
  </si>
  <si>
    <t>Wilson, WH (corresponding author), Marine Biol Assoc United Kingdom Lab, Citadel Hill, Plymouth PL1 2PB, Devon, England.</t>
  </si>
  <si>
    <t>Pearce, David/0000-0001-5292-4596</t>
  </si>
  <si>
    <t>10.1007/s003000000152</t>
  </si>
  <si>
    <t>WOS:000089208600009</t>
  </si>
  <si>
    <t>Vuan, A; Russi, M; Panza, GF</t>
  </si>
  <si>
    <t>Group velocity tomography in the subantarctic Scotia Sea region</t>
  </si>
  <si>
    <t>PURE AND APPLIED GEOPHYSICS</t>
  </si>
  <si>
    <t>Antarctica; Scotia Sea; lithospheric structure; tomography; surface waves</t>
  </si>
  <si>
    <t>WEST ANTARCTICA; SEISMIC STRUCTURE; SOUTH-ATLANTIC; UPPER MANTLE; TECTONICS; PLATE; EVOLUTION; BASIN; MAPS; LITHOSPHERE</t>
  </si>
  <si>
    <t>More than 150 events, recently recorded by seven seismic broadband stations (OGS-IAA, IRIS. GSETT3-IDC), have been collected and processed to obtain an overview of the crust and upper mantle shear wave velocities. Group velocities of the fundamental mode Rayleigh and Love waves, in the period range from 15 a to 50 s, are used to obtain tomographic maps of the Scotia Sea region, the tip of Antarctic Peninsula, and the tip of South America. Errors in the measurements, estimated on clusters, are larger for Love waves than for Rayleigh waves and their averages are 0.060-0.080 km/s and 0.030-0.040 km/s, respectively. From the regionalisation of the dispersion measurements, we obtain smoothed local dispersion curves in correspondence with the main geological and tectonic features, and from their nonlinear inversion, the shear wave velocity versus depth profiles. The correlation length of the heterogeneity, which can be resolved by Rayleigh waves, varies between 200 and 400 km in most parts of the studied area, but becomes greater near the periphery of the maps. The spatial resolution of Love waves (400-600 km) is poorer than that of Rayleigh waves, due to the deteriorated path coverage and to the larger errors in the group velocity measurements. Models of the shear wave velocity in the crust and upper mantle for the tip of South America, the Falkland Plateau, the Scotia Sea, the South Sandwich oceanic spreading ridge, the South Sandwich trench, the South Scotia ridge, the tip of Antarctic Peninsula, the Bransfield Strait and the Drake Passage are presented. Our regional models and the existing large-scale models (e.g., CRUST5.1), help to define a 3-D velocity model of the Scotia Sea region to be further investigated by waveform inversion.</t>
  </si>
  <si>
    <t>Ist Nazl Oceanog &amp; Geofis Sperimentale, Dipartimento Oceanog, I-34010 Trieste, Italy; Univ Trieste, Dipartimento Sci Terra, I-34127 Trieste, Italy; Abdus Salam Int Ctr Theoret Phys, Trieste, Italy</t>
  </si>
  <si>
    <t>Istituto Nazionale di Oceanografia e di Geofisica Sperimentale; University of Trieste; Abdus Salam International Centre for Theoretical Physics (ICTP)</t>
  </si>
  <si>
    <t>Vuan, A (corresponding author), Ist Nazl Oceanog &amp; Geofis Sperimentale, Dipartimento Oceanog, Borgo Gretta Gicante 42C, I-34010 Trieste, Italy.</t>
  </si>
  <si>
    <t>Vuan, Alessandro/GLR-3168-2022; Vuan, Alessandro/AAC-9665-2021; Vuan, Alessandro/B-7115-2014</t>
  </si>
  <si>
    <t>Vuan, Alessandro/0000-0001-5536-1717; Giuliano, Panza/0000-0003-3504-3038</t>
  </si>
  <si>
    <t>BIRKHAUSER VERLAG AG</t>
  </si>
  <si>
    <t>BASEL</t>
  </si>
  <si>
    <t>VIADUKSTRASSE 40-44, PO BOX 133, CH-4010 BASEL, SWITZERLAND</t>
  </si>
  <si>
    <t>0033-4553</t>
  </si>
  <si>
    <t>PURE APPL GEOPHYS</t>
  </si>
  <si>
    <t>Pure Appl. Geophys.</t>
  </si>
  <si>
    <t>10.1007/PL00001122</t>
  </si>
  <si>
    <t>360ZL</t>
  </si>
  <si>
    <t>WOS:000089697200002</t>
  </si>
  <si>
    <t>Narcisi, B</t>
  </si>
  <si>
    <t>Late Quaternary eolian deposition in central Italy</t>
  </si>
  <si>
    <t>eolian quartz; lacustrine sediments; central Italy; late Quaternary</t>
  </si>
  <si>
    <t>LAST CLIMATIC CYCLE; PROJECT-2 ICE CORE; SAHARAN DUST; GREENLAND ICE; ISOTOPIC COMPOSITION; ATLANTIC SEDIMENTS; TROPICAL ATLANTIC; GLACIAL MAXIMUM; ANTARCTIC ICE; WIND REGIMES</t>
  </si>
  <si>
    <t>Records of eolian quartz from two continuous sediment sequences drilled in Lagaccione and Lago di Vice volcanic lakes in central Italy contribute to the knowledge of eolian deposition in the central Mediterranean during the last 100,000 years. The chronology is based on C-14 and 40Ar/39Ar dating and tephra analysis. Pollen data provide the paleoenvironmental framework and enable correlation between the cores. Eolian inputs were high during the steppe phases corresponding to oxygen isotope stages 4 and 2. Low inputs correspond to the forest phases of the last interglacial and the middle Holocene. Eolian inputs have increased in the late Holocene. Patterns of eolian deposition in central Italy resemble the Antarctic dust record from the Vostok ice core. The Italian patterns may also correspond with hydrological changes registered in North Africa. The main source of dust loading over the Mediterranean now, North Africa, may have played an important role in dust supply throughout the last climatic cycle. (C) 2000 University of Washington.</t>
  </si>
  <si>
    <t>ENEA, CR Casaccia, I-00100 Rome, Italy</t>
  </si>
  <si>
    <t>Narcisi, B (corresponding author), ENEA, CR Casaccia, CP 2400, I-00100 Rome, Italy.</t>
  </si>
  <si>
    <t>narcisi@casaccia.enea.it</t>
  </si>
  <si>
    <t>10.1006/qres.2000.2155</t>
  </si>
  <si>
    <t>358YC</t>
  </si>
  <si>
    <t>WOS:000089583900010</t>
  </si>
  <si>
    <t>Rose, MC; Jarvis, MJ; Clilverd, MA; Maxfield, DJ; Rosenberg, TJ</t>
  </si>
  <si>
    <t>The effect of snow accumulation on imaging riometer performance</t>
  </si>
  <si>
    <t>ABSORPTION EVENTS</t>
  </si>
  <si>
    <t>In January 1908 an imaging riometer system was deployed at Halley, Antarctica (76 degrees S, 27 degrees W), involving the construction of an array of 64 crossed-dipole antennas and a ground plane. Weather conditions at Halley mean that such an array will rapidly bury beneath the snow, so the system was tuned to operate efficiently when buried. Theoretical calculations indicate that because the distance between the ground plane and the array was scaled to be 1/4 lambda in the snow, as snow fills the gap the signal will increase by 0.6 2.5 dB. Similarly, the short antennas are resonant when operated in snow, not in air. Theoretical calculations sinew that the largest effect of this is the mismatch of their feed point impedance to the receiver network, ns the signal for each riometer beam is composed of a contribution from all 64 antennas, for each antenna that buries the signal level will increase by 1/64 of similar to 9 dB. The measured response of the system to burial showed significant changes as snow accumulated in and over the array during 1998. The changes are consistent with the magnitude of the effects predicted by the theoretical calculations. The Halley imaging riometer system, having now been buried completely, is operating more efficiently than if a standard air-tuned configuration had been deployed. The results are of considerable relevance to the ever-increasing community of imaging riometer users regarding both deployment and the subsequent interpretation of scientific data. Some systems will experience similar permanent burial, while others will be subject to significant annual variability as a result of becoming snow-covered during winter and clear during summer.</t>
  </si>
  <si>
    <t>British Antarctic Survey, Div Phys Sci, Cambridge CB3 0ET, England; Univ Maryland, Inst Phys Sci &amp; Technol, College Pk, MD 20742 USA</t>
  </si>
  <si>
    <t>UK Research &amp; Innovation (UKRI); Natural Environment Research Council (NERC); NERC British Antarctic Survey; University System of Maryland; University of Maryland College Park</t>
  </si>
  <si>
    <t>Rose, MC (corresponding author), British Antarctic Survey, Div Phys Sci, Madingley Rd, Cambridge CB3 0ET, England.</t>
  </si>
  <si>
    <t>10.1029/2000RS002314</t>
  </si>
  <si>
    <t>359JC</t>
  </si>
  <si>
    <t>WOS:000089606900008</t>
  </si>
  <si>
    <t>Blagoveshchensky, DV; Borisova, TD</t>
  </si>
  <si>
    <t>Substorm effects of ionosphere and HF propagation</t>
  </si>
  <si>
    <t>HIGH-LATITUDE IONOSPHERE</t>
  </si>
  <si>
    <t>Four subauroral HF radio paths are investigated during substorms of various intensities. The principal substorm effects are both an increase of the signal strength 1-2 hours before the substorm expansion phase and a change in the azimuth of the received signal. The latter is explained by increasing the intensities of irregularities caused by particle precipitation on the poleward edge of the main ionospheric trough. Model calculation of the signal amplitude variations during the substorm growth phase has been carried out. Excellent agreement between the model and observations is achieved when the critical frequency of the F2 layer is increased by several megacycles and the height of the F2 layer maximum is reduced by 20 - 40 km at the reflection point the nearest to the receiving center. Similar investigations may be useful for quantitative description of any ionospheric model within disturbed periods.</t>
  </si>
  <si>
    <t>State Univ Aerosp Instrumentat, St Petersburg 190000, Russia; Arctic &amp; Antarctic Sci Res Inst, St Petersburg 199397, Russia</t>
  </si>
  <si>
    <t>Saint Petersburg State University of Aerospace Instrumentation</t>
  </si>
  <si>
    <t>Blagoveshchensky, DV (corresponding author), State Univ Aerosp Instrumentat, 67 Bolshaya Morskaya Str, St Petersburg 190000, Russia.</t>
  </si>
  <si>
    <t>Borisova, Tatiana/AAK-7698-2020</t>
  </si>
  <si>
    <t>Borisova, Tatiana/0000-0003-1727-5310</t>
  </si>
  <si>
    <t>10.1029/1998RS001776</t>
  </si>
  <si>
    <t>WOS:000089606900010</t>
  </si>
  <si>
    <t>Osborn, JM; Phipps, CJ; Taylor, TN; Taylor, EL</t>
  </si>
  <si>
    <t>Structurally preserved sphenophytes from the Triassic of Antarctica:: reproductive remains of Spaciinodum</t>
  </si>
  <si>
    <t>anatomy; Antarctica; Equisetales; fossils; morphology; Spaciinodum; Sphenophyta; Triassic</t>
  </si>
  <si>
    <t>CENTRAL TRANSANTARCTIC MOUNTAINS; EQUISETUM-ARVENSE; GEN-NOV; SPORE</t>
  </si>
  <si>
    <t>Permineralized cones found organically attached to Spaciinodum collinsonii stems are described from the early Middle Triassic silicified flora from the Fremouw Formation of Antarctica, and the species diagnosis is emended to include the reproductive specimens. The apical cones are organized into internodal and leaf-bearing nodal regions. Nodal septations span the central pith and cortex, and thin fimbrils subdivide the internodal areas into smaller chambers. The vascular system consists of 31-33 continuous bundles that do not alternate in position between successive nodes and internodes. Simple sporangia are associated with the cortical chambers and occur in one whorl on the axis. Spores are small, lack elaters, and have no discernible ultrastructure preserved, and they are interpreted to be immature. The Antarctic cones are different in structure from typical cones of modem and fossil members of Equisetales; however, they share similarities with some morphologically aberrant cones of extant Equisetum and several Late Paleozoic and Mesozoic compression-impression fossils. Spaciinodum is now the most complete anatomically described Mesozoic sphenophyte. (C) 2000 Elsevier Science B.V. All rights reserved.</t>
  </si>
  <si>
    <t>Truman State Univ, Div Sci, Kirksville, MO 63501 USA; Univ Kansas, Dept Ecol &amp; Evolutionary Biol, Lawrence, KS 66045 USA; Univ Kansas, Museum Nat Hist, Lawrence, KS 66045 USA; Univ Kansas, Biodivers Res Ctr, Lawrence, KS 66045 USA</t>
  </si>
  <si>
    <t>University of Kansas; University of Kansas; University of Kansas</t>
  </si>
  <si>
    <t>Osborn, JM (corresponding author), Truman State Univ, Div Sci, Kirksville, MO 63501 USA.</t>
  </si>
  <si>
    <t>10.1016/S0034-6667(00)00026-9</t>
  </si>
  <si>
    <t>362ZK</t>
  </si>
  <si>
    <t>WOS:000089808000003</t>
  </si>
  <si>
    <t>Ivanova, EV</t>
  </si>
  <si>
    <t>Biogeographic zoning of the Indian Ocean in the Late Mesozoic</t>
  </si>
  <si>
    <t>STRATIGRAPHY AND GEOLOGICAL CORRELATION</t>
  </si>
  <si>
    <t>Mesozoic; biogeographic zones; paleocirculation; Indian Ocean; deep-sea drilling holes</t>
  </si>
  <si>
    <t>The climatic zoning and surface-water circulation patterns in the Indian Ocean are elucidated for four time-intervals of the Late Mesozoic on the basis of micropaleontological data and plate tectonic reconstructions available. The oldest marine deposits referred to the Late Triassic are penetrated by drilling in the Wombat Plateau. It is established that development of ancient Circum-Antarctic Current and Austral Biogeographic Province began in the Neocomian. The Tethyan and transitional provinces appeared in the mid-Cretaceous time. In the Late Cretaceous, the study region included the Tethyan (tropical), subtropical temperate, and Austral provinces. The gradual complication of biogeographic zoning and surface-water circulation in the ocean, as it was opening in the Late Mesozoic, depended on global climatic changes.</t>
  </si>
  <si>
    <t>Russian Acad Sci, PP Shirshov Oceanol Inst, Moscow 117851, Russia</t>
  </si>
  <si>
    <t>Russian Academy of Sciences; Shirshov Institute of Oceanology</t>
  </si>
  <si>
    <t>Ivanova, EV (corresponding author), Russian Acad Sci, PP Shirshov Oceanol Inst, Nakhimovskii Pr 36, Moscow 117851, Russia.</t>
  </si>
  <si>
    <t>PLEIADES PUBLISHING INC</t>
  </si>
  <si>
    <t>PLEIADES PUBLISHING INC, MOSCOW, 00000, RUSSIA</t>
  </si>
  <si>
    <t>0869-5938</t>
  </si>
  <si>
    <t>1555-6263</t>
  </si>
  <si>
    <t>STRATIGR GEO CORREL+</t>
  </si>
  <si>
    <t>Stratigr. Geol. Correl.</t>
  </si>
  <si>
    <t>362ML</t>
  </si>
  <si>
    <t>WOS:000089781700003</t>
  </si>
  <si>
    <t>Curran, MAJ; Jones, GB</t>
  </si>
  <si>
    <t>Dimethyl sulfide in the Southern Ocean: Seasonality and flux</t>
  </si>
  <si>
    <t>ATMOSPHERIC SULFUR; ANTARCTIC OCEANS; WATERS; ICE; DIMETHYLSULFONIOPROPIONATE; DIMETHYLSULPHONIOPROPIONATE; EMISSIONS; CYCLE; IONS; DMS</t>
  </si>
  <si>
    <t>The first flux estimate of dimethyl sulfide (DMS) from the Australian sector of the Southern Ocean (63 degrees E to 162 degrees E) has been calculated from seven voyages, which span spring and summer seasons from 1991 to 1995. Increases in seawater DMS and its precursor, dimethyl sulfoniopropionate (DMSP) generally occurred in Southern Ocean surface waters during the transition from spring to summer. DMS flux from the Subantarctic Zone (SAZ), Antarctic Zone (AZ), and Seasonal Ice Zone (SIZ) ranged from 1.7 to 49 mu mol/m(2)/d with a mean value of 9.4 mu mol/m(2)/d. These flux calculations are believed to be underestimates, and do not include potential contributions from sea ice. Very high levels of DMSP in sea ice suggest that the SIZ may be a source of DMS to the atmosphere. The different types of vertical DMSP profiles found in sea ice possibly reflect the type of algal assemblage present and the age of the sea ice. Without considering contributions of DMS from sea ice, the overall Southern Ocean DMS emission estimate from this work was 139 Gmol S/yr. The emission estimate for the Antarctic region alone (AZ and SIZ) was 85 Gmol S/yr. This represents 17% of the global emission estimate, from 6% of the ocean surface area. This emission estimate is almost double that of an earlier estimate by Berresheim [1987] of 48 Gmol S/yr, and is likely to be higher when the amount released from the sea ice surrounding Antarctica is more accurately characterized.</t>
  </si>
  <si>
    <t>Univ Tasmania, Antarctic Cooperat Res Ctr, Hobart, Tas 7001, Australia; Univ Tasmania, Australian Antarctic Div, Hobart, Tas 7001, Australia; James Cook Univ N Queensland, Dept Chem, Townsville, Qld 4811, Australia</t>
  </si>
  <si>
    <t>University of Tasmania; University of Tasmania; Australian Antarctic Division; James Cook University</t>
  </si>
  <si>
    <t>Curran, MAJ (corresponding author), Univ Tasmania, Antarctic Cooperat Res Ctr, GPO Box 252-80, Hobart, Tas 7001, Australia.</t>
  </si>
  <si>
    <t>mark.curran@utas.edu.au; graham.jones@jcu.edu.au</t>
  </si>
  <si>
    <t>Jones, Graham/0000-0002-2815-6395</t>
  </si>
  <si>
    <t>AUG 27</t>
  </si>
  <si>
    <t>D16</t>
  </si>
  <si>
    <t>10.1029/2000JD900176</t>
  </si>
  <si>
    <t>350NH</t>
  </si>
  <si>
    <t>WOS:000089107600001</t>
  </si>
  <si>
    <t>Röthlisberger, R; Hutterli, MA; Sommer, S; Wolff, EW; Mulvaney, R</t>
  </si>
  <si>
    <t>Factors controlling nitrate in ice cores:: Evidence from the Dome C deep ice core</t>
  </si>
  <si>
    <t>TO-FIRN TRANSFER; SPATIAL VARIABILITY; SNOW; GREENLAND; ANTARCTICA; SUMMIT; CHEMISTRY; HNO3; PRECIPITATION; TROPOSPHERE</t>
  </si>
  <si>
    <t>In order to estimate past changes in atmospheric NOx concentration, nitrate, an oxidation product of NOx, has often been measured in polar ice cores. In the frame of the European Project for Ice Goring in Antarctica (EPICA), a high-resolution nitrate record was obtained by continuous flow analysis (CFA) of a new deep ice core drilled at Dome C. This record allows a detailed comparison of nitrate with other chemical trace substances in polar snow under different climatic regimes. Previous studies showed that it would be difficult to make firm conclusions about atmospheric NOx concentrations based on ice core nitrate without a better understanding of the factors controlling NO3- deposition and preservation. At Dome C, initially high nitrate concentrations (over 500 ppb) decrease within the top meter to steady low values around 15 ppb that are maintained throughout the Holocene ice. Much higher concentrations (averaging 53 ppb) are found in ice from the Last Glacial Maximum (LGM). Combining this information with data from previous sampling elsewhere in Antarctica, it seems that under climatic conditions of the Holocene, temperature and accumulation rate are the key factors determining the NO3- concentration in the ice. Furthermore, ice layers with high acidity show a depletion of NO3-, but higher concentrations are found before and after the acidity layer, indicating that NO3- has been redistributed after deposition. Under glacial conditions, where NO3- shows a higher concentration level and also a larger variability, non-sea-salt calcium seems to act as a stabilizer, preventing volatilization of NO3- from the surface snow layers.</t>
  </si>
  <si>
    <t>Univ Bern, Inst Phys, CH-3012 Bern, Switzerland; British Antarctic Survey, NERC, Cambridge CB3 0ET, England</t>
  </si>
  <si>
    <t>University of Bern; UK Research &amp; Innovation (UKRI); Natural Environment Research Council (NERC); NERC British Antarctic Survey</t>
  </si>
  <si>
    <t>regine@climate.unibe.ch; manuel@hwr.arizona.edu; sommer@climate.unibe.ch; ewwo@bas.ac.uk; rmu@bas.ac.uk</t>
  </si>
  <si>
    <t>10.1029/2000JD900264</t>
  </si>
  <si>
    <t>WOS:000089107600009</t>
  </si>
  <si>
    <t>McCulloch, MT; Esat, T</t>
  </si>
  <si>
    <t>The coral record of last interglacial sea levels and sea surface temperatures</t>
  </si>
  <si>
    <t>CHEMICAL GEOLOGY</t>
  </si>
  <si>
    <t>last interglacial; sea levels; sea surface temperatures</t>
  </si>
  <si>
    <t>GREAT-BARRIER-REEF; ANTARCTIC ICE-SHEET; U-TH AGES; MASS-SPECTROMETRY; HUON-PENINSULA; PENULTIMATE DEGLACIATION; WESTERN-AUSTRALIA; ABROLHOS ISLANDS; YOUNGER DRYAS; TH-230 AGES</t>
  </si>
  <si>
    <t>The rise and fall of the Last Interglacial (LI) sea levels and sea surface temperatures (SSTs) are evaluated using U-series dating combined with Sr/Ca ratios in corals from both stable and tectonically uplifted sites. Along the stable coastal margin of Western Australia, an extensive series of LI coral reefs occur at heights of 2-3 m above present-day sea level. These corals have a very tight cluster of U-234-Th-230 ages ranging from 129 +/- 1 to 119 +/- 1 ka, as well as a narrow range of initial delta(234)U values of 150 +/- 5, similar to modem seawater. Bahamas, which is also a stable site, has an essentially identical pattern of U-series ages from 130 +/- 1 to 120 +/- 1 ka. Barbados and Huon Peninsula are tectonically active sites where the LI terraces are found at elevations of &gt; 50 and &gt; 200 m, respectively. U-series ages from corals exposed in the lower footwall of these uplifted reefs, allow better constraints to be placed on the rate of sea level rise which initiated the LI. Corals from the Huon Peninsula constrain sea level at - 80 +/- 10 m at 131 +/- 2 ka, and from Barbados, at - 30 +/- 5 m at 129 +/- 1 ka. Combined with constraints from stable sites, these observations require an exceedingly rapid rise in sea level of 30-50 m per 1000 years at 130 +/- 1 ka. This indicates that large-scale catastrophic melting of the once massive continental ice sheets occurred in phase with the rapidly increasing northern hemisphere (NH) summer insolation, consistent with the orbital forcing being the main driver of glacial-interglacial climate change. There is also some evidence from Huon Peninsula, although still not conclusive, for a precursor oscillation in sea level during the penultimate deglaciation, that may have been within similar to - 20 m of present-day levels at similar to 135 ka. SSTs for the LI Porites corals from the Huon Peninsula and Western Australia have mean annual temperatures and seasonal ranges that are remarkably similar to present-day patterns. The tropical site of Huon Peninsula has SSTs of 29 +/- 1 degrees C, which is indistinguishable from the SSTs given by modem corals. At Ningaloo Reef in Western Australia, similar mean annual (similar to 24 degrees C) and summer maximum SSTs of 27-29 degrees C are found in both LI and modem corals. The only significant difference is the similar to 1 degrees C cooler winter minimum SSTs of similar to 21 degrees C for the LI compared to present-day minimums of similar to 22 degrees C. LI SSTs from these southern hemisphere (SH) sites were thus very similar, or at most, only slightly cooler than today, despite sea levels being up to 4 m higher. This maybe indicative of asymmetric warming of the Earth, with the increased NH insolation during the LI period being responsible for the extensive melting of the mainly NH-based ice sheets, and hence, higher global sea levels. The observation of relatively high sea levels in the LI, together with the rapid pulses of sea level rise, indicates that the potential now exists for greenhouse warming to initiate increases in sea level of at least several metres on relatively short time-scales (10(2) years). (C) 2000 Elsevier Science B.V. All rights reserved.</t>
  </si>
  <si>
    <t>McCulloch, MT (corresponding author), Australian Natl Univ, Res Sch Earth Sci, GPO Box 4,1 Mills Rd, Canberra, ACT 0200, Australia.</t>
  </si>
  <si>
    <t>McCulloch, Malcolm Thomas/C-3651-2009</t>
  </si>
  <si>
    <t>McCulloch, Malcolm Thomas/0000-0003-1538-1558; Esat, Tezer/0000-0001-5331-6568; Esat, Sevilay/0000-0002-7257-4009</t>
  </si>
  <si>
    <t>0009-2541</t>
  </si>
  <si>
    <t>CHEM GEOL</t>
  </si>
  <si>
    <t>Chem. Geol.</t>
  </si>
  <si>
    <t>AUG 15</t>
  </si>
  <si>
    <t>10.1016/S0009-2541(00)00260-6</t>
  </si>
  <si>
    <t>347QU</t>
  </si>
  <si>
    <t>WOS:000088941300008</t>
  </si>
  <si>
    <t>Greet, PA; Murphy, DJ; Vincent, R; Dyson, PL</t>
  </si>
  <si>
    <t>A comparison of optical and radar measurements of mesospheric winds and tides</t>
  </si>
  <si>
    <t>SOUTH-POLE; LOWER THERMOSPHERE; MF RADARS; ANTARCTICA; MOTIONS</t>
  </si>
  <si>
    <t>Optical measurements of mesospheric winds by Fabry-Perot spectrometers, FPSs, at Mawson, 67.6 degrees S 62.9 degrees E, and Davis, 68.6 degrees S 78.0 degrees E, Antarctica are compared with similar measurements obtained using a spaced-antenna MF radar at Davis. The FPSs observed the OH emission. Different analysis procedures, used to determine the mean wind, and amplitude and phase of the semidiurnal tide, have been compared. At these latitudes the diurnal tide is weak and the semi-diurnal tide, although highly variable in amplitude, is usually the dominant periodicity. When comparing the amplitude and phase of the semidiurnal tide good agreement is obtained between measurements by the two instruments.</t>
  </si>
  <si>
    <t>Australian Antarctic Div, Kingston, Tas 7050, Australia; Univ Adelaide, Dept Phys &amp; Math Phys, Adelaide, SA 5005, Australia; La Trobe Univ, Sch Phys, Bundoora, Vic 3083, Australia</t>
  </si>
  <si>
    <t>Australian Antarctic Division; University of Adelaide; La Trobe University</t>
  </si>
  <si>
    <t>Greet, PA (corresponding author), Australian Antarctic Div, Channel Highway, Kingston, Tas 7050, Australia.</t>
  </si>
  <si>
    <t>Vincent, Robert A/E-5450-2013</t>
  </si>
  <si>
    <t>Vincent, Robert A/0000-0001-6559-6544</t>
  </si>
  <si>
    <t>10.1029/2000GL000036</t>
  </si>
  <si>
    <t>344QZ</t>
  </si>
  <si>
    <t>WOS:000088771500032</t>
  </si>
  <si>
    <t>Sigman, DM; Altabet, MA; McCorkle, DC; Francois, R; Fischer, G</t>
  </si>
  <si>
    <t>The δ15N of nitrate in the Southern Ocean:: Nitrogen cycling and circulation in the ocean interior</t>
  </si>
  <si>
    <t>ANTARCTIC INTERMEDIATE WATER; ISOTOPIC COMPOSITION; ATMOSPHERIC CO2; INDIAN-OCEAN; HYDROGRAPHIC SECTION; NATURAL ABUNDANCE; NORTH-ATLANTIC; WORLD OCEANS; ARABIAN SEA; FRACTIONATION</t>
  </si>
  <si>
    <t>We report analyses of the nitrogen isotopic composition of nitrate in the eastern Indian and Pacific sectors of the Southern Ocean. In this paper, we focus on the subsurface data as well as data from the deep waters of other ocean basins. Nitrate delta(15)N is relatively invariant in much of the abyssal ocean (i.e., below 2.5 km), with a value of 4.8 +/- 0.2 parts per thousand observed in Lower Circumpolar Deep Water, North Atlantic Deep Water, and central Pacific deep water. The isotopic invariance of deep ocean nitrate stems fundamentally from the completeness of nitrate utilization in most of the global surface ocean, the Southern Ocean surface being an important exception. In the Subantarctic Zone (north of the Polar Frontal Zone) the nitrate delta(15)N of Upper Circumpolar Deep Water is similar to 0.7 parts per thousand greater than that of Lower Circumpolar Deep Water. This isotopic enrichment appears to result from denitrification in the low-latitude water masses with which Upper Circumpolar Deep Water communicates. The isotopic enrichment of Upper Circumpolar Deep Water is diminished in the Antarctic, probably because of the remineralization of sinking organic N, which has a low delta(15)N in the Antarctic. Relative to the other water masses of the Southern Ocean, the Subantarctic thermocline has a very low nitrate delta 15N for its nitrate concentration because of exchange with the low-latitude thermocline, where this isotopic signature appears to originate. This signature of the low-latitude thermocline has two probable causes: (I)mixing with low-nitrate surface water and (2) the oxidation of newly fixed N.</t>
  </si>
  <si>
    <t>Woods Hole Oceanog Inst, Woods Hole, MA 02543 USA; Univ Massachusetts, Ctr Marine Sci &amp; Technol, New Bedford, MA 02747 USA; Univ Bremen, Fachbereich Geowissensch, D-28334 Bremen, Germany</t>
  </si>
  <si>
    <t>Woods Hole Oceanographic Institution; University of Massachusetts System; University of Bremen</t>
  </si>
  <si>
    <t>sigman@princeton.edu</t>
  </si>
  <si>
    <t>Sigman, Daniel M./A-2649-2008; Sigman, Daniel M./IYJ-2613-2023</t>
  </si>
  <si>
    <t>Sigman, Daniel M./0000-0002-7923-1973;</t>
  </si>
  <si>
    <t>C8</t>
  </si>
  <si>
    <t>10.1029/2000JC000265</t>
  </si>
  <si>
    <t>344FJ</t>
  </si>
  <si>
    <t>WOS:000088748300009</t>
  </si>
  <si>
    <t>Rogenhagen, J; Jokat, W</t>
  </si>
  <si>
    <t>The sedimentary structure in the western Weddell Sea</t>
  </si>
  <si>
    <t>Weddell Sea; Gondwana; sedimentary basin; sediments</t>
  </si>
  <si>
    <t>The western Weddell Sea was one of the regions where breakup of Gondwana was initiated about 180 Ma. The perennial ice coverage makes it difficult to obtain knowledge about the thickness and structure of the sediments that might reveal information about the break-up process and the evolution of the Weddell Sea Basin. Seismic investigations south of 66 degrees S provide a first detailed view of the sediment structure of the westernmost Weddell Sea. In addition, four wide angle seismic measurements with offsets up to 31 km were undertaken. The sediment thickness ranges from 4.8 +/- 0.3 to 7.3 +/- 0.3 km, but seems to be relatively uniform in the area between the eastern continental margin of the Antarctic Peninsula (at 52 degrees W) and 35 degrees W. Three out of four measurements of the sediment thickness in this area are between 4.8 and 5.7 km. The depth of the acoustic basement is constrained by both the wide angle data and by seismic reflection profiles acquired at the same time. A comparison of the two western wide angle seismic measurements with estimates for the non-magnetic overburden derived from aeromagnetic data show a deviation of more than 1 km. The depth velocity functions reveal that the sediments of the western Weddell Sea are divided into two sequences that are separated by a broad transition zone at a depth of 6-7 km. (C) 2000 Elsevier Science B.V. All rights reserved.</t>
  </si>
  <si>
    <t>Rogenhagen, J (corresponding author), Alfred Wegener Inst Polar &amp; Marine Res, Columbusstr, D-27568 Bremerhaven, Germany.</t>
  </si>
  <si>
    <t>Jokat, Wilfried/0000-0002-7793-5854</t>
  </si>
  <si>
    <t>10.1016/S0025-3227(00)00048-7</t>
  </si>
  <si>
    <t>344ZT</t>
  </si>
  <si>
    <t>WOS:000088791500003</t>
  </si>
  <si>
    <t>Chaix, L; Allanic, A; Rossi, MJ</t>
  </si>
  <si>
    <t>Heterogeneous chemistry of HOBr on different types of ice and on ice doped with HCl, HBr, and HNO3 at 175 K &lt; T &lt; 215 K</t>
  </si>
  <si>
    <t>REAL-TIME KINETICS; ANTARCTIC OZONE; WATER ICE; BRO; BROMINE; FILMS; TROPOSPHERE; CHLORINE; ACID</t>
  </si>
  <si>
    <t>The uptake kinetics of HOBr on ice with and without HX has been measured in a Tefln-coated low-pressure flow reactor (Knudsen cell) at temperatures of 175-205 K. The values of the initial uptake coefficient gamma(0) of HOBr on different types of pure H2O ice such as single-crystal ice, vapor-deposited ice, and samples frozen from liquid H2O range from 0.4 to 0.03 and reveal a pronounced negative temperature dependence with an activation energy of E-a = -9.7 +/- 1.0 kcal/mol. The rate of HOBr uptake is independent of the type of ice. HOBr is able to sustain an equilibrium vapor pressure above an ice surface in the range from 185 to 210 K when sufficient HOBr has been adsorbed and is associated with an enthalpy change Delta H-r(0) -9.4 +/- 1.0 kcal/mol. Adsorbed HNO3 has no influence on the HOBr uptake coefficient on ice, even when the amount of HN03 contaminating the surface of ice is as high as 10 formal monolayers. The interaction of HOBr with HX-doped ice in the temperature range from 180 to 215 K leads to rapid formation of BrX at values of gamma(0) of HOBr being less temperature dependent than for HOBr adsorption on pure ice: E-a = -6.6 +/- 2.0 kcal/mol has been found for the narrow temperature range from 195 to 215 K. The mass balance for BrCl from the reaction HOBr + HCl/ice is closed, in contrast to Br-2, which is the primary product of the reaction HOBr + HBr/ice. The uptake rate coefficients for HOBr + HCl/ice and HBr/ice are not significantly different from each other over the range from 180 to 215 K and are equal to gamma(0) = 0.3 from 180 to 195 K, after which they drop with increasing temperature, but less so than for pure ice. At 205 K, gamma(0) for HOBr + HX is typically a factor of 4 higher than gamma(0) for HOBr uptake on pure ice. The atmospheric implications of these results are briefly discussed.</t>
  </si>
  <si>
    <t>Ecole Polytech Fed Lausanne, LPA, CH-1015 Lausanne, Switzerland</t>
  </si>
  <si>
    <t>Ecole Polytech Fed Lausanne, LPA, CH-1015 Lausanne, Switzerland.</t>
  </si>
  <si>
    <t>AUG 10</t>
  </si>
  <si>
    <t>10.1021/jp001018z</t>
  </si>
  <si>
    <t>343CF</t>
  </si>
  <si>
    <t>WOS:000088683600017</t>
  </si>
  <si>
    <t>Nicol, S; Pauly, T; Bindoff, NL; Wright, S; Thiele, D; Hosie, GW; Strutton, PG; Woehler, E</t>
  </si>
  <si>
    <t>Ocean circulation off east Antarctica affects ecosystem structure and sea-ice extent</t>
  </si>
  <si>
    <t>CIRCUMPOLAR CURRENT; SOUTHERN-OCEAN; KRILL; PHOTOSYNTHESIS; PACIFIC</t>
  </si>
  <si>
    <t>Sea ice and oceanic boundaries have a dominant effect in structuring Antarctic marine ecosystems. Satellite imagery and historical data have identified the southern boundary of the Antarctic Circumpolar Current(1) as a site of enhanced biological productivity(2). Meso-scale surveys off the Antarctic peninsula have related the abundances of Antarctic krill (Euphausia superba) and salps (Salpa thompsoni) to inter-annual variations in sea-ice extent(3). Here we have examined the ecosystem structure and oceanography spanning 3,500 km of the east Antarctic coastline, linking the scales of local surveys and global observations. Between 80 degrees and 150 degrees E there is a threefold variation in the extent of annual sea-ice cover, enabling us to examine the regional effects of sea ice and ocean circulation on biological productivity. Phytoplankton, primary productivity, Antarctic krill, whales and seabirds were concentrated where winter sea-ice extent is maximal, whereas salps were located where the sea-ice extent is minimal. We found enhanced biological activity south of the southern boundary of the Antarctic Circumpolar Current rather than in association with it(2). We propose that along this coastline ocean circulation determines both the sea-ice conditions and the level of biological productivity at all trophic levels.</t>
  </si>
  <si>
    <t>Australian Antarctic Div, Dept Environm &amp; Heritage, Kingston, Tas 7050, Australia; Univ Tasmania, Antarctic Cooperat Res Ctr, Hobart, Tas 7001, Australia; Sch Ecol &amp; Environm, Warrnambool, Vic 3280, Australia; Flinders Univ S Australia, Sch Biol, Adelaide, SA 5001, Australia</t>
  </si>
  <si>
    <t>Australian Antarctic Division; University of Tasmania; Flinders University South Australia</t>
  </si>
  <si>
    <t>Australian Antarctic Div, Dept Environm &amp; Heritage, Channel Highway, Kingston, Tas 7050, Australia.</t>
  </si>
  <si>
    <t>stephe_nik@antdiv.gov.au</t>
  </si>
  <si>
    <t>Bindoff, Nathaniel Lee/IVV-0333-2023; Bindoff, Nathaniel Lee/C-8050-2011; Strutton, Peter/C-4466-2011</t>
  </si>
  <si>
    <t>Bindoff, Nathaniel Lee/0000-0001-5662-9519; Bindoff, Nathaniel Lee/0000-0001-5662-9519; Woehler, Eric/0000-0002-1125-0748; Strutton, Peter/0000-0002-2395-9471</t>
  </si>
  <si>
    <t>AUG 3</t>
  </si>
  <si>
    <t>10.1038/35020053</t>
  </si>
  <si>
    <t>340ML</t>
  </si>
  <si>
    <t>WOS:000088538000043</t>
  </si>
  <si>
    <t>Tutino, ML; Duilio, A; Moretti, MA; Sannia, G; Marino, G</t>
  </si>
  <si>
    <t>A rolling-circle plasmid from Psychrobacter sp. TA144:: Evidence for a novel Rep subfamily</t>
  </si>
  <si>
    <t>BIOCHEMICAL AND BIOPHYSICAL RESEARCH COMMUNICATIONS</t>
  </si>
  <si>
    <t>psychrophile; plasmid; rolling-circle; Rep protein; nick site</t>
  </si>
  <si>
    <t>MICROBIAL COMMUNITIES; ESCHERICHIA-COLI; DNA-REPLICATION; BACTERIA; SEQUENCE; MUTAGENESIS; REPLICONS; PROTEIN; PHAGES; SITE</t>
  </si>
  <si>
    <t>In this paper we report the cloning and sequencing of two small plasmids, pTAUp and pTADw, from the Antarctic Gram-negative Psychrobacter sp strain TA144. The observation that pTAUp contains a putative Rep-coding gene (Psyrep) suggested that its duplication occurs via a rolling-circle replication mechanism. This hypothesis was confirmed by the identification of the pTAUp single-stranded DNA form. The putative pTAUp plus origin of replication was found at the 3' end of the Psyrep by using an in vivo complementation assay. Structural similarities at the level of (i) gene organization, (ii) protein sequence, and (iii) nick site sequences strongly suggest that the psychrophilic enzyme belongs to a new subfamily of replication enzymes, (C) 2000 Academic Press.</t>
  </si>
  <si>
    <t>Univ Naples Federico II, Dipartimento Chim Organ &amp; Biol, I-80134 Naples, Italy</t>
  </si>
  <si>
    <t>Tutino, ML (corresponding author), Univ Naples Federico II, Dipartimento Chim Organ &amp; Biol, Via Mezzocannone 16, I-80134 Naples, Italy.</t>
  </si>
  <si>
    <t>TUTINO, MARIA LUISA/L-1834-2013</t>
  </si>
  <si>
    <t>Tutino, Maria Luisa/0000-0002-4978-6839; SANNIA, Giovanni/0000-0002-7986-6223; DUILIO, Angela/0000-0002-6833-1303</t>
  </si>
  <si>
    <t>0006-291X</t>
  </si>
  <si>
    <t>BIOCHEM BIOPH RES CO</t>
  </si>
  <si>
    <t>Biochem. Biophys. Res. Commun.</t>
  </si>
  <si>
    <t>AUG 2</t>
  </si>
  <si>
    <t>10.1006/bbrc.2000.3148</t>
  </si>
  <si>
    <t>341LU</t>
  </si>
  <si>
    <t>WOS:000088592500036</t>
  </si>
  <si>
    <t>Teske, A; Brinkhoff, T; Muyzer, G; Moser, DP; Rethmeier, J; Jannasch, HW</t>
  </si>
  <si>
    <t>Diversity of thiosulfate-oxidizing bacteria from marine sediments and hydrothermal vents</t>
  </si>
  <si>
    <t>APPLIED AND ENVIRONMENTAL MICROBIOLOGY</t>
  </si>
  <si>
    <t>REDUCED SULFUR-COMPOUNDS; DEEP-SEA SEDIMENTS; RIBOSOMAL-RNA GENE; SP-NOV; PHYLOGENETIC DIVERSITY; SULFATE REDUCTION; EVOLUTIONARY RELATIONSHIPS; HETEROTROPHIC BACTERIA; CLASS PROTEOBACTERIA; MICROBIAL COMMUNITY</t>
  </si>
  <si>
    <t>Species diversity, phylogenetic affiliations, and environmental occurrence patterns of thiosulfate-oxidizing marine bacteria were investigated by using new isolates from serially diluted continental slope and deep-sea abyssal plain sediments collected off the coast of New England and strains cultured previously from Galapagos hydrothermal vent samples. The most frequently obtained new isolates, mostly from 10(3)- and 10(4)-fold dilutions of the continental slope sediment, oxidized thiosulfate to sulfate and fell into a distinct phylogenetic cluster of marine alpha-Proteobacteria. Phylogenetically and physiologically, these sediment strains resembled the sulfate-producing thiosulfate oxidizers from the Galapagos hydrothermal vents while showing habitat-related differences in growth temperature, rate and extent of thiosulfate utilization,, and carbon substrate patterns. The abyssal deep-sea sediments yielded predominantly base producing thiosulfate-oxidizing isolates related to Antarctic marine Psychroflexus species and other cold-water marine strains of the Cytophaga-Flavobacterium-Bacteroides phylum, in addition to gamma-proteobacterial isolates of the genera Pseudoalteromonas and Halomonas-Deleya. Bacterial thiosulfate oxidation is found in a wide phylogenetic spectrum of Flavobacteria and Proteobacteria.</t>
  </si>
  <si>
    <t>Woods Hole Oceanog Inst, Dept Biol, Redfield Lab, Woods Hole, MA 02543 USA; ICBM, D-26111 Oldenburg, Germany; Netherlands Inst Sea Res, NIOZ, NL-1790 AB Den Burg, Netherlands; Princeton Univ, Dept Geosci, Princeton, NJ 08544 USA; Univ Bremen, Abt Marine Mikrobiol, FB 2, D-29359 Bremen, Germany; Univ Bremen, Abt Marine Mikrobiol, UFT, D-29359 Bremen, Germany</t>
  </si>
  <si>
    <t>Woods Hole Oceanographic Institution; Utrecht University; Royal Netherlands Institute for Sea Research (NIOZ); Princeton University; University of Bremen; University of Bremen</t>
  </si>
  <si>
    <t>Teske, A (corresponding author), Woods Hole Oceanog Inst, Dept Biol, Redfield Lab, Woods Hole, MA 02543 USA.</t>
  </si>
  <si>
    <t>Muyzer, Gerard/A-3161-2013; Teske, Andreas/AAQ-9577-2021; Muyzer, Gerard/ABE-5834-2020</t>
  </si>
  <si>
    <t>Muyzer, Gerard/0000-0002-2422-0732; Muyzer, Gerard/0000-0002-2422-0732</t>
  </si>
  <si>
    <t>AMER SOC MICROBIOLOGY</t>
  </si>
  <si>
    <t>1752 N ST NW, WASHINGTON, DC 20036-2904 USA</t>
  </si>
  <si>
    <t>0099-2240</t>
  </si>
  <si>
    <t>APPL ENVIRON MICROB</t>
  </si>
  <si>
    <t>Appl. Environ. Microbiol.</t>
  </si>
  <si>
    <t>AUG</t>
  </si>
  <si>
    <t>10.1128/AEM.66.8.3125-3133.2000</t>
  </si>
  <si>
    <t>340QP</t>
  </si>
  <si>
    <t>WOS:000088546300001</t>
  </si>
  <si>
    <t>Hodgson, DA; Vyverman, W; Chepstow-Lusty, A; Tyler, PA</t>
  </si>
  <si>
    <t>From rainforest to wasteland in 100 years: The limnological legacy of the Queenstown mines, Western Tasmania</t>
  </si>
  <si>
    <t>ARCHIV FUR HYDROBIOLOGIE</t>
  </si>
  <si>
    <t>Tasmania; diatoms; pollen; acid rain; pH; acidification; mining; World Heritage Area; Queenstown; pollution</t>
  </si>
  <si>
    <t>LAKES; PALEOLIMNOLOGY; ACIDIFICATION; INDICATORS; DIATOMS; PH</t>
  </si>
  <si>
    <t>Areas within the rainforests of south-west Tasmania, home to Aboriginal tribes for more than 36,000 years, were dramatically changed in the late 1800s with the arrival of European prospectors. Subsequent large-scale mining and smelting operations resulted in acid rain, local deforestation and extensive soil erosion. Much of the area is now bare rock. The aims of this study were to examine the terrestrial and lacustrine responses to industrial acidification and deforestation as revealed by a sediment core from 'Owen Tarn', a small cirque lake down-wind of the mining town of Queenstown, and adjacent to a World Heritage Area. Terrestrial responses were investigated using pollen analysis to document both the state of the rainforest before and after the arrival of the Europeans. Limnological responses were documented by examining changes in diatom communities in the core. Results show both the terrestrial vegetation and the aquatic microscopic vegetation have been considerably modified by mining activities in the last 100 years. Pollen analysis provides a chronology of industrial deforestation and diatom analysis shows changes in species composition and a decline in species richness. Indirect ordination (PCA) of sediment diatom assemblages in the core with autecological data from 76 Tasmanian highland lakes (TASDIAT) reveals that diatom assemblages in the bottom parts of the core are analogous to those of Tasmanian oligotrophic 'corridor lakes' while recent species assemblages are similar to those of acidic Tasmanian 'western lakes'. Although a number of 'cosmopolitan' species indicative of lake acidification in the northern hemisphere are present in Owen Tarn, acidification has resulted in a different species response. In the most recent sediments the assemblage is dominated by Eunotia species in which valve deformation is manifest. These are a possible response to chemical stress. Lower abundances of deformed diatoms occur in the surface sediments and there is an increase in pollen from herbaceous taxa which reflects the revegetation of the catchment. Both responses are consistent first signs of recovery of the lake and revegetation of the catchment following the cessation of smelting activities in 1969. The most recent diatom assemblages in Owen Tarn (top 1.5 cm) resemble those of L. Spicer and L. Dora in the nearby Tyndall range. It cannot be excluded that these, and other lakes in the World Heritage Area, may have experienced some degree of ecological change as a result of long-range pollution from historic smelting activities.</t>
  </si>
  <si>
    <t>British Antarctic Survey, Cambridge CB3 0ET, England; State Univ Ghent, Lab Bot, B-9000 Ghent, Belgium; Univ Cambridge, Dept Geog, Cambridge CB2 3EN, England; Deakin Univ, Sch Aquat Sci &amp; Nat Resources Management, Warrnambool, Vic 3280, Australia</t>
  </si>
  <si>
    <t>UK Research &amp; Innovation (UKRI); Natural Environment Research Council (NERC); NERC British Antarctic Survey; Ghent University; University of Cambridge; Deakin University</t>
  </si>
  <si>
    <t>Hodgson, DA (corresponding author), British Antarctic Survey, High Cross,Madingley Rd, Cambridge CB3 0ET, England.</t>
  </si>
  <si>
    <t>Dasseville, Renaat/B-3561-2010; alexchepstow@gmail.com, Alex/AAV-5258-2021</t>
  </si>
  <si>
    <t>alexchepstow@gmail.com, Alex/0000-0002-5547-513X</t>
  </si>
  <si>
    <t>E SCHWEIZERBARTSCHE VERLAGS</t>
  </si>
  <si>
    <t>NAEGELE U OBERMILLER JOHANNESSTRASSE 3A, D 70176 STUTTGART, GERMANY</t>
  </si>
  <si>
    <t>0003-9136</t>
  </si>
  <si>
    <t>ARCH HYDROBIOL</t>
  </si>
  <si>
    <t>Arch. Hydrobiol.</t>
  </si>
  <si>
    <t>Limnology; Marine &amp; Freshwater Biology</t>
  </si>
  <si>
    <t>341LH</t>
  </si>
  <si>
    <t>WOS:000088591500008</t>
  </si>
  <si>
    <t>Jorgenson, MT</t>
  </si>
  <si>
    <t>Hierarchial organisation of ecosystems at multiple spatial scales on the Yukon-Kuskokwim Delta, Alaska, USA</t>
  </si>
  <si>
    <t>VEGETATION PATTERNS; GEESE; CLASSIFICATION; COMMUNITIES; SALINITY; DYNAMICS; ECOLOGY</t>
  </si>
  <si>
    <t>I conducted an ecological land survey near Hazen Bay, on the Yukon-Kuskokwim Delta of Alaska during 1994-1998 in order to assess potential effects of sea-level rise on coastal ecosystems in this region. Independent classification of three landscape components grouped ecological characteristics of the area into 10 geomorphic units (e.g., tidal flats, abandoned floodplain cover deposits), 9 surface forms (e.g., levees, basins), and 18 plant associations (e.g., Carex rariflora-Salix fuscescens). I then used hierarchical associations among these landscape components to derive an ecosystem classification at three levels of organization that included 10 ecosections (based on geomorphology), 11 ecoseries (based on surface forms and geomorphology), and 27 ecotypes (primarily based on vegetation). The nature and distribution of ecosystems at all levels showed a strong influence from geomorphic processes. The active floodplain, with frequent flooding and sedimentation, had brackish ecotypes that were dominated by graminoids and forbs. The inactive floodplain, where flooding and sedimentation were infrequent, had slightly brackish ecotypes with a wide diversity of species and growth forms. In contrast, the abandoned floodplain, which lacked flooding and sediment deposition, but was strongly affected by permafrost aggradation, had ecotypes that were dominated by evergreen shrubs, mosses, and Lichens that were intolerant to salts, but tolerated acidic, nutrient-poor conditions. Ecotypes with similar vegetation generally had similar environmental properties, including surface elevation, soil morphology, sedimentation, organic matter accumulation, thaw depths, water depths, pH, and electrical conductivity. When similar ecotypes were aggregated into ecosections based on geomorphic similarities, differences in ecological properties increased.</t>
  </si>
  <si>
    <t>ABR Inc, Fairbanks, AK 99708 USA</t>
  </si>
  <si>
    <t>Jorgenson, MT (corresponding author), ABR Inc, POB 80410, Fairbanks, AK 99708 USA.</t>
  </si>
  <si>
    <t>10.2307/1552521</t>
  </si>
  <si>
    <t>353AX</t>
  </si>
  <si>
    <t>WOS:000089252500001</t>
  </si>
  <si>
    <t>Mark, AF; Dickinson, KJM; Hofstede, RGM</t>
  </si>
  <si>
    <t>Alpine vegetation, plant distribution, life forms, and environments in a perhumid New Zealand region: Oceanic and tropical high mountain affinities</t>
  </si>
  <si>
    <t>ALTITUDINAL GRADIENT; SPECIES RICHNESS; COMMUNITIES; ORDINATION; ECOSYSTEMS; ISLAND; CLASSIFICATION; GRASSLANDS; AREAS; ALPS</t>
  </si>
  <si>
    <t>Macro- and mesoscale patterns of the full altitudinal range (1200-2200 m) of alpine vegetation and vascular flora on Mount Armstrong, on New Zealand's perhumid Southern Alps, are deduced from 41 vegetation and soil samples. Multivariate analyses of quantitative data for 138 vascular plant taxa separated high alpine from low-alpine communities between 1640 and 1800 m depending on local topography. Four high-alpine and seven low-alpine communities were differentiated. Vector fitting of 25 environmental variables to a sample ordination revealed 16 were statistically significant. Factors associated with topography (altitude, exposure, and slope) are the primary determinants of the macroscale patterns while soil, particularly those factors affected by processes associated with site stability, determine the mesoscale patterns of the alpine vegetation. Dominance of Hemicryptophytes and Chamaephytes across the alpine zone reveals a general consistency with alpine areas elsewhere. The tussock or caespitose form of Hemicryptophyte is the most common in New Zealand except near the upper limit of the high-alpine zone where cushion and mat forms dominate. Several large-leaved, mostly evergreen forbs (megaphyllous herbs) are a feature of the New Zealand low-alpine zone in perhumid regions. The overall pattern of alpine vegetation and associated life forms in oceanic New Zealand shows closer affinities with those occurring on perhumid tropical high mountains and other oceanic regions, particularly the subantarctic islands, than those of the temperate northern hemisphere continental mountains. The similarity between the moderate, extended but Variable alpine growing season in New Zealand and the nonseasonal environments of tropical high mountains and subantarctic islands is suggested as the basis for this affinity. This contrasts with the much shorter but generally more favorable growing season and the extreme winters of temperate northern hemisphere continental mountains. Two data sets. one from Mount Armstrong and the other gathered from a wider geographic and altitudinal range, revealed curvilinear rather than linear relationships for both richness and altitudinal ranges of the vascular Bora. Detailed information on altitudinal ranges and distribution of the alpine vegetation, vascular flora, life forms, and environments over the full range of the alpine zone on Mount Armstrong provides baseline records relevant to future assessments of probable effects of global climate changes.</t>
  </si>
  <si>
    <t>Univ Otago, Dept Bot, Dunedin, New Zealand; Univ Amsterdam, Inst Biodivers &amp; Ecosyst Dynam, Proyecto Paramo, Proyecto Ecopar, Quito, Ecuador</t>
  </si>
  <si>
    <t>Mark, AF (corresponding author), Univ Otago, Dept Bot, POB 56, Dunedin, New Zealand.</t>
  </si>
  <si>
    <t>Dickinson, Katharine/M-1728-2017</t>
  </si>
  <si>
    <t>Dickinson, Katharine/0000-0001-6769-552X</t>
  </si>
  <si>
    <t>10.2307/1552522</t>
  </si>
  <si>
    <t>WOS:000089252500002</t>
  </si>
  <si>
    <t>Johnston, S; Ryan, M</t>
  </si>
  <si>
    <t>Occurrence of arbuscular mycorrhizal fungi across a range of alpine humus soil conditions in Kosciuszko National Park, Australia</t>
  </si>
  <si>
    <t>TUNDRA COMMUNITIES; PHOSPHORUS; INFECTION; GROWTH; PLANTS; FIELD</t>
  </si>
  <si>
    <t>The occurrence of arbuscular mycorrhizal fungi (AMF) was examined in tall alpine herbfields (Celmisia-Poa alliance) in Kosciuszko National Park, Australia. Relatively undisturbed areas and areas which had been successfully, and unsuccessfully, rehabilitated in the 1960s and 1970s following severe loss of vegetation and soil erosion were sampled. Most common plant species in undisturbed areas were colonized by AMF, often with greater than 50% of root length colonized. Colonization by AMF of the dominant species, Poa fawcettiae, was substantially lower in areas that had failed to re-establish vegetation or a soil profile following rehabilitation, and in areas that had been successfully rehabilitated, but had again started to degrade in the 1990s. This lower colonization may be attributed to a number of factors. These include toxic effects from Zn released from galvanized wire used in the rehabilitation work and the loss of the organic horizon resulting in reduced AMF inoculum levels, extreme soil temperatures and low soil water. The study indicated that AMF might need to be considered when planning the rehabilitation of degraded areas of herbfields in Kosciuszko National Park.</t>
  </si>
  <si>
    <t>Australian Natl Univ, Dept Forestry, Sch Resource &amp; Environm Sci, Canberra, ACT 0200, Australia; CSIRO, Div Plant Ind, Canberra, ACT 2601, Australia</t>
  </si>
  <si>
    <t>Australian National University; Commonwealth Scientific &amp; Industrial Research Organisation (CSIRO); Plant Industry</t>
  </si>
  <si>
    <t>Johnston, S (corresponding author), NSW Natl Pk &amp; Wildlife Serv, POB 2228, Jindabyne, NSW 2627, Australia.</t>
  </si>
  <si>
    <t>Ryan, Megan/A-4009-2010</t>
  </si>
  <si>
    <t>Ryan, Megan/0000-0003-0749-0199</t>
  </si>
  <si>
    <t>10.2307/1552523</t>
  </si>
  <si>
    <t>WOS:000089252500003</t>
  </si>
  <si>
    <t>Altitudinal differences in organic matter mass loss and fungal biomass in a subalpine coniferous forest, Mt. Fuji, Japan</t>
  </si>
  <si>
    <t>SOIL RESPIRATION; DECOMPOSITION; LITTER; CARBON; BOREAL; TEMPERATURE; ECOSYSTEMS</t>
  </si>
  <si>
    <t>In order to study the long-term effect of climatic conditions on organic matter decomposition, the difference in the mass loss rate of organic substrates was examined along the altitudinal temperature gradient (1500-2400 m) of Mt. Fuji, Japan. Two standard substrates, cellulose filter paper and wood chips of beech (Fagus crenata), were placed in the L and FH layers at each altitude. The mass loss rates tended to be smaller with increasing altitude and were significantly correlated with the annual mean air temperature in a log-linear fashion. The temperature dependence of the mass loss rates was much larger than that of microbial respiration. The initial increase in ergosterol content (an indicator of fungal biomass) of organic substrates was mon rapid at low altitudes than at higher altitudes. The effects of fungal biomass and freezing temperatures on the temperature dependence of decomposition were examined using a simple simulation model, The results suggest that the effects of temperature increase on decomposition could be much larger than these estimated from the temperature-microbial respiration curves.</t>
  </si>
  <si>
    <t>Hiroshima Univ, Dept Environm Dynam &amp; Management, Grad Sch Biosphere Sci, Higashihiroshima 7398521, Japan; Hiroshima Univ, Dept Environm Studies, Fac Integrated Arts &amp; Sci, Higashihiroshima 7398521, Japan</t>
  </si>
  <si>
    <t>Hiroshima University; Hiroshima University</t>
  </si>
  <si>
    <t>Nakane, K (corresponding author), Hiroshima Univ, Dept Environm Dynam &amp; Management, Grad Sch Biosphere Sci, 1-7-1 Kagamiyama, Higashihiroshima 7398521, Japan.</t>
  </si>
  <si>
    <t>Nakatsubo, Takayuki/V-4520-2019</t>
  </si>
  <si>
    <t>Nakatsubo, Takayuki/0000-0003-3329-0123</t>
  </si>
  <si>
    <t>10.2307/1552524</t>
  </si>
  <si>
    <t>WOS:000089252500004</t>
  </si>
  <si>
    <t>Schlag, RN; Erschbamer, B</t>
  </si>
  <si>
    <t>Germination and establishment of seedlings on a glacier foreland in the central Alps, Austria</t>
  </si>
  <si>
    <t>MOUNT-ST-HELENS; PRIMARY SUCCESSION; SEED; REPRODUCTION; PLANTS; STRATEGIES; PATTERNS; SHRUBS; SOILS; SIZE</t>
  </si>
  <si>
    <t>Seedling recruitment and establishment were studied on the moraines of a glacier foreland in the central Alps in Austria. Permanent plots were established on moraines that had been ice-free for 25 and 40 yr. Comparisons were made between vegetated and ban-ground plots on each moraine over three growing seasons (1996-98) On half of the plots seeds of glacier foreland species were sown and their germination rates followed. Wide annual fluctuations in seedling recruitment were noted over the 3 study years, in the numbers of seedlings no significant differences between the sites were noted. Species composition of the seedlings showed a significant correlation with the vegetation of the sites. Seedling recruitment on the vegetated plots was greater than on the hare-ground plots. Established plants and stones represented safe sites for seedling recruitment. On the older moraine established plants had a negative effect on the survival of seedlings. After two winters seedling survival rates ranged from 0 to 40%. In most cases greater numbers of seedlings were found on the seeded than on the unseeded plots, The seeding experiment showed that seeds of late successional species are able to become established on younger moraines.</t>
  </si>
  <si>
    <t>Univ Innsbruck, Inst Bot, A-6020 Innsbruck, Austria</t>
  </si>
  <si>
    <t>University of Innsbruck</t>
  </si>
  <si>
    <t>Schlag, RN (corresponding author), Univ Innsbruck, Inst Bot, Sternwartestr 15, A-6020 Innsbruck, Austria.</t>
  </si>
  <si>
    <t>ruth.schlag@uibk.ac.at</t>
  </si>
  <si>
    <t>10.2307/1552525</t>
  </si>
  <si>
    <t>WOS:000089252500005</t>
  </si>
  <si>
    <t>Raillard, M; Svoboda, J</t>
  </si>
  <si>
    <t>High grazing impact, selectivity, and local density of muskoxen in Cental Ellesmere Island, Canadian high Arctic</t>
  </si>
  <si>
    <t>BANKS-ISLAND; ECOSYSTEMS; HERBIVORY; GREENLAND; GROWTH</t>
  </si>
  <si>
    <t>Grazing activities and densities of muskoxen in Sverdrup Pass, Central Ellesmere Island, were investigated by use of an automatic camel-a monitoring system from May to August, 1987 and by direct observation from March to May 1988. Average seasonal density of muskoxen was 6.4 +/- 1.9 (S.E.M.) animals x km(-2) resulting in an average of 48.3 +/- 5.1 (S.E.M.) % of available shoots grazed in meadow stands. These figures far surpass previous estimates of density or impact of muskoxen in the High Arctic. It shows that in some high arctic plant communities herbivores can reach high densities and have a high impact, even though aerial survey counts of large areas indicate low average animal densities. Muskoxen selected wet and mesic meadow communities between April and August, except in late June and late July of 1987, when willow herb fields were chosen. In March and early April of 1988 muskoxen grazed valley slopes with little snow cover and little vegetation. In total, 82.8% of the grazing time between 18 May and 18 August 1987, was spent in meadows, despite the fact that these communities covered only 31% of the study area. Muskoxen were therefore highly selective grazers.</t>
  </si>
  <si>
    <t>Canadian Wildlife Serv, Prairie &amp; No Reg, Edmonton, AB T6B 2X3, Canada; Univ Toronto, Erindale Coll, Dept Biol, Mississauga, ON L5L 1C6, Canada</t>
  </si>
  <si>
    <t>Environment &amp; Climate Change Canada; Canadian Wildlife Service; University of Toronto; University Toronto Mississauga</t>
  </si>
  <si>
    <t>Canadian Wildlife Serv, Prairie &amp; No Reg, Room 200,4999-98 Ave, Edmonton, AB T6B 2X3, Canada.</t>
  </si>
  <si>
    <t>Martin.Raillard@ec.gc.ca</t>
  </si>
  <si>
    <t>10.2307/1552526</t>
  </si>
  <si>
    <t>WOS:000089252500006</t>
  </si>
  <si>
    <t>Staaland, H; Hove, K</t>
  </si>
  <si>
    <t>Seasonal changes in sodium metabolism in reindeer (Rangifer tarandus tarandus) in an inland area of Norway</t>
  </si>
  <si>
    <t>PLANT-CHEMICAL COMPOSITION; FOOD; SUPPLEMENTS; SELECTION; TURNOVER; CARIBOU; WINTER; MOOSE; SHEEP</t>
  </si>
  <si>
    <t>Sodium metabolism was studied by isotope dilution techniques infree-ranging reindeer in the Jotunheimen mountain region of southern Norway. In the study three groups of animals were injected intravenously with (NaCl)-Na-22 and bled 2-3 times per year. The study lasted from 184 to 993 d in the groups. Flow rates and half times of Na-22 in the plasma pool were calculated. The overall results showed half-times for Na-22 in winter of 301 d against 107 d in summer (mid May to early September). The difference in metabolic half time reflected large differences in the Na content of the diet. Sodium analyses of 485 plant samples from the study area, and diets constructed from published literature, showed that I kg dried summer diet would contain 6 to 7 mmol Na kg(-1) and I kg winter diet 4.4 mmol Na kg(-1). Daily food intakes were calculated from dietary Na content and Na turnover estimates. Female reindeer with 70 kg body mass had an intake of 3.2 to 3.8 kg dry matter in summer and 1.8 kg in winter. We conclude that the Na supply in our area is marginal fur reindeer, and that supplementation may enhance reindeer survival and productivity.</t>
  </si>
  <si>
    <t>Agr Univ Norway, Dept Biol &amp; Nat Conservat, N-1432 As Nlh, Norway; Agr Univ Norway, Dept Anim Sci, N-1432 As Nlh, Norway</t>
  </si>
  <si>
    <t>Norwegian University of Life Sciences; Norwegian University of Life Sciences</t>
  </si>
  <si>
    <t>Staaland, H (corresponding author), Agr Univ Norway, Dept Biol &amp; Nat Conservat, POB 5014, N-1432 As Nlh, Norway.</t>
  </si>
  <si>
    <t>10.2307/1552527</t>
  </si>
  <si>
    <t>WOS:000089252500007</t>
  </si>
  <si>
    <t>Gervais, BR; MacDonald, GM</t>
  </si>
  <si>
    <t>A 403-year record of July temperatures and treeline dynamics of Pinus sylvestris from the Kola Peninsula, northwest Russia</t>
  </si>
  <si>
    <t>CANADIAN TREELINE; SWEDISH SCANDES; GLOBAL CLIMATE; BOREAL FOREST; VEGETATION; REGENERATION; FEEDBACKS; SIBERIA; REGION; SPRUCE</t>
  </si>
  <si>
    <t>A 403-yr tree-ring chronology (A.D. 1595-1997) was developed from living and dead Pinus sylvestris L. (Scots pine) from near treeline on the Kola Peninsula in northwestern Russia. Ring-width is significantly correlated with mean July temperatures. A reconstruction of mean July temperatures generally parallels similar dendroclimatic reconstructions from northern Fennoscandia. The Kola reconstruction indicates that the early- to mid-20th century experienced an exceptional period of warm summer temperatures. Dendrochronological techniques were used to estimate the timing of establishment and mortality of Pinus sylvestris at the site. Tree recruitment and mortality appear inversely related and episodic, with pulses of recruitment occurring during the late-17th, 18th, and mid- to late-20th centuries. The mid-20th century pine recruitment episode lags several decades behind the initiation of 20th-century summer warming. Analysis of instrumental climate records and pine recruitment suggests a Link between warm fall and early spring conditions in the mid-20th century and increased pine regeneration. The results of this study are similar to findings from northern Fennoscandia and extend this pattern of recent climatic variation and associated treeline response eastward into the Kola Peninsula.</t>
  </si>
  <si>
    <t>Univ Calif Los Angeles, Dept Geog &amp; Organism Biol, Los Angeles, CA 90095 USA; Univ Calif Los Angeles, Dept Ecol &amp; Evolut, Los Angeles, CA 90095 USA</t>
  </si>
  <si>
    <t>University of California System; University of California Los Angeles; University of California System; University of California Los Angeles</t>
  </si>
  <si>
    <t>Univ Calif Los Angeles, Dept Geog &amp; Organism Biol, 405 Hilgard Ave, Los Angeles, CA 90095 USA.</t>
  </si>
  <si>
    <t>bgervais@ucla.edu</t>
  </si>
  <si>
    <t>10.2307/1552528</t>
  </si>
  <si>
    <t>WOS:000089252500008</t>
  </si>
  <si>
    <t>Osterkamp, TE; Viereck, L; Shur, Y; Jorgenson, MT; Racine, C; Doyle, A; Boone, RD</t>
  </si>
  <si>
    <t>Observations of thermokarst and its impact on boreal forests in Alaska, USA</t>
  </si>
  <si>
    <t>PERMAFROST; ECOSYSTEMS; CLIMATE; TUNDRA</t>
  </si>
  <si>
    <t>Thermokarst is developing in the boreal forests of Alaska where ice-rich discontinuous permafrost is thawing. Thawing destroys the physical foundation (ice-rich soil) on which boreal forest ecosystems rest causing dramatic changes in the ecosystem. Impacts on the forest depend primarily on the type and amount of ice present in the permafrost and on drainage conditions. At sites generally underlain by ice-rich permafrost, forest ecosystems can be completely destroyed. In the Mentasta Pass area, wet sedge meadows, bogs, thermokarst ponds, and lakes are replacing forests. An upland thermokarst site on the University of Alaska Campus consists of polygonal patterns of troughs and pits caused by thawing ice-wedge polygons. Trees are destroyed in corresponding patterns. In the Tanana Flats, ice-rich permafrost supporting birch forests is thawing rapidly and the forests are being converted to minerotrophic floating mat fens. At this site, an estimated 83% of 2.6*10(5) ha was underlain by permafrost a century or more ago. About 42% of this permafrost has been influenced by thermokarst development within the last 1 to 2 centuries. Thaw subsidence at the above sites is typically 1 to 2 m with some values up to 6 m. Much of the discontinuous permafrost in Alaska is extremely warm, usually within 1 or 2 degrees C of thawing, and highly susceptible to thermal degradation. Additional warming will result in the formation of new thermokarst.</t>
  </si>
  <si>
    <t>Univ Alaska, Inst Geophys, Fairbanks, AK 99775 USA; Univ Alaska, Dept Forest Sci, Fairbanks, AK 99775 USA; Golder Associates Inc, Anchorage, AK 99507 USA; ABR Inc, Fairbanks, AK 99708 USA; USA, Cold Reg Res &amp; Engn Lab, Hanover, NH 03755 USA; Univ Calif Santa Barbara, Dept Ecol Evolut &amp; Marine Biol, Santa Barbara, CA 93106 USA; Univ Alaska, Inst Arctic Biol, Fairbanks, AK 99775 USA</t>
  </si>
  <si>
    <t>University of Alaska System; University of Alaska Fairbanks; University of Alaska System; University of Alaska Fairbanks; United States Department of Defense; United States Army; U.S. Army Corps of Engineers; U.S. Army Engineer Research &amp; Development Center (ERDC); Cold Regions Research &amp; Engineering Laboratory (CRREL); University of California System; University of California Santa Barbara; University of Alaska System; University of Alaska Fairbanks</t>
  </si>
  <si>
    <t>Univ Alaska, Inst Geophys, Fairbanks, AK 99775 USA.</t>
  </si>
  <si>
    <t>ffteo@aurora.alaska.edu</t>
  </si>
  <si>
    <t>10.2307/1552529</t>
  </si>
  <si>
    <t>WOS:000089252500009</t>
  </si>
  <si>
    <t>Payette, S; Delwaide, A</t>
  </si>
  <si>
    <t>Recent permafrost dynamics in a subarctic floodplain associated with changing water levels, Quebec, Canada</t>
  </si>
  <si>
    <t>NORTHERN QUEBEC; FLUCTUATIONS; CENTURIES; LAKE</t>
  </si>
  <si>
    <t>We have reconstructed from tree-rings the dynamics of mineral frost mounds on the floodplain of a subarctic river (Riviere Boniface, northern Quebec) likely associated with snow precipitation and temperature changes during the past centuries. Due to their peculiar location in the river bed, we have postulated that the inception and decay of frost mounds (thermokarst ponds) were associated with snow-controlled water levels of the river. The periods of establishment, growth, and mortality of spruce around and in two thermokarst ponds on the shore zone were identified. The oldest tree-ring dates show that permafrost mounds formed during a period of water lowering in the 17th century, likely in a long-enduring sequence of low waters initiated around cal AD 1150 (910 yr BP), which persisted for at least 200 vr until the beginning of the 20th century. Two main periods of spruce mortality were identified, in the late 19th century and early 20th century and in the 1950s-1960s, which corresponded to a rising river level probably due to greater snow precipitation. The patterns of spruce establishment and mortality were strikingly similar in the studied sites. The first spruce to establish were all located along the pond's edges and they were also the first ones to die; most of the youngest spruce established later in the central part of each feature, i.e., in the early to mid-1850s to 1910, and died during the 1950s-1960s. The sequence of events reported here suggests an important lowering of the Riviere Boniface during the first part of the Little Ice Age (end of the 16th century-17th century) which was drier and cold. During the second part of the Little Ice Age (mainly 19th century), greater precipitation occurred and climaxed in the 20th century when climate warmed and the river stage reached its maximum level. Changes in snow precipitation were probably more instrumental than temperature changes in the rise and fall of permafrost landforms because of the snowypack's direct influence on the soil thermal regime and river level during snowmelt.</t>
  </si>
  <si>
    <t>Univ Laval, Ctr Etud Nord, Ste Foy, PQ G1K 7P4, Canada</t>
  </si>
  <si>
    <t>Laval University</t>
  </si>
  <si>
    <t>Univ Laval, Ctr Etud Nord, Ste Foy, PQ G1K 7P4, Canada.</t>
  </si>
  <si>
    <t>s.payette@cen.ulaval.ca</t>
  </si>
  <si>
    <t>10.2307/1552530</t>
  </si>
  <si>
    <t>WOS:000089252500010</t>
  </si>
  <si>
    <t>Wang, L; Payette, S; Bégin, Y</t>
  </si>
  <si>
    <t>A quantitative definition of light rings in black spruce (Picea mariana) at the arctic treeline in northern Quebec, Canada</t>
  </si>
  <si>
    <t>WOOD STRUCTURE; RECONSTRUCTION; TEMPERATURE; CHRONOLOGY</t>
  </si>
  <si>
    <t>Light rings in black spruce (Picea mariana [Mill.] BSP.) at the arctic treeline are characterized by pale-colored latewood made of a single or very few latewood-cell layers with thin-walled cells. Their widespread occurrence and their high frequency greatly facilitate the cross-dating procedure in dendrochronological studies, In this study, black spruce tree-ring density and wood structure were analyzed for light ring characteristics along with the mechanism of their formation according to ambient temperature. Light rings were quantitatively categorized into three classes based on the maximum tree-ring density using a normalized standard distribution. A light-ring chronology was established according to this classification. The results indicate that the grade of light ring was positively related to the frequency of fight rings obtained from visual light-ring chronologies. The following anatomic variables were examined: number of cell layers of latewood, number of cells of the whole ring, percentage of latewood in the total ring width, and mean latewood cell-wall thickness, Among these anatomic variables, the mean latewood cell-wall thickness represents the best quantitative descriptor of a typical light ring as recognized by optical examination. The main causal factors of light rings are insufficient length of the growing season or cool summers.</t>
  </si>
  <si>
    <t>l.wang@cen.ulaval.ca</t>
  </si>
  <si>
    <t>10.2307/1552531</t>
  </si>
  <si>
    <t>WOS:000089252500011</t>
  </si>
  <si>
    <t>Gough, WA; Robinson, CA</t>
  </si>
  <si>
    <t>Sea-level variation in Hudson Bay, Canada, from tide-gauge data</t>
  </si>
  <si>
    <t>Sea-level variation in Hudson Bay is examined using tide-gauge data from Churchill, Manitoba. Statistical analysis shows that 43% of the variation in this record is the result of variation in the local Churchill River discharge. Evidence is also found for the delayed effect of advective lag of discharge from James Bay on Churchill sea level. Increase in the seasonal amplitude of sea level after 1975 is the result of anthropogenically induced river diversion. Long-term changes, particularly an increase in the rate of sea-level drop from 1970 to 1985, is not likely the result of changes in local discharge, but is possibly the result of thermal contraction of the world ocean due to short-term cooling from 1960 to 1975. We speculate that changes in atmospheric conditions related to the North Atlantic Oscillation since 1970 may also affect sea-level changes in Hudson Bay.</t>
  </si>
  <si>
    <t>Univ Toronto, Scarborough, ON M1C 1A4, Canada; Canadian Hydrog Serv, Cent &amp; Arctic Reg, Burlington, ON L7R 4A6, Canada</t>
  </si>
  <si>
    <t>University of Toronto; University Toronto Scarborough; Fisheries &amp; Oceans Canada</t>
  </si>
  <si>
    <t>Gough, WA (corresponding author), Univ Toronto, 1265 Mil Trail, Scarborough, ON M1C 1A4, Canada.</t>
  </si>
  <si>
    <t>Gough, William A/L-5231-2013</t>
  </si>
  <si>
    <t>10.2307/1552532</t>
  </si>
  <si>
    <t>WOS:000089252500012</t>
  </si>
  <si>
    <t>Rasch, M; Elberling, B; Jakobsen, BH; Hasholt, B</t>
  </si>
  <si>
    <t>High-resolution measurements of water discharge, sediment and solute transport in the river Zackenbergelven, Northeast Greenland</t>
  </si>
  <si>
    <t>MELTWATER; CHEMISTRY; CANADA; RUNOFF; SNOW</t>
  </si>
  <si>
    <t>The climatic control on fluvial fluxes of sediments and solutes from arctic terrestrial ecosystems to the hydrographically sensitive and highly productive marine ecosystem are considered to be an important feedback mechanism in relation to the understanding of global change. High temporal resolution data are presented on water discharge, suspended sediment transport, and solute chemistry in the river Zackenbergelven draining a catchment of 512 km(2) in High Arctic Northeast Greenland. Variations of water quality and water discharge in the river are discussed in relation to climate, water balance, and drainage basin dynamics. The temporal variations in water composition in the river can be separated into three characteristic periods. During the early part of the season, snow melt in the lowland areas produces an ion pulse. Later in the season, when the active layer in the permafrost develops, the water quality is mainly influenced by water draining through and from the active layer. in the latest part of the season, when air temperature reaches the annual maximum, and drainage from the lowland areas ceases, the river water mainly originates from glaciers and snow patches on the high-lying plateaus above 1000 m a.s.l. The fluxes of sediments and solutes from the catchment seems to be especially sensitive to even slightly changing climates during the mid period. It is concluded that the river regime is intermediate between the arctic nival regime and the proglacial regime, and it is suggested that the Zackenbergelven drainage basin is representative for Northeast Greenland drainage basins with no connection to the Greenland Ice Sheet in the more continental part of the land fringe outside the ice sheet.</t>
  </si>
  <si>
    <t>Univ Copenhagen, Inst Geog, DK-1350 Copenhagen K, Denmark</t>
  </si>
  <si>
    <t>University of Copenhagen</t>
  </si>
  <si>
    <t>Rasch, M (corresponding author), Univ Copenhagen, Inst Geog, Oster Voldgate 10, DK-1350 Copenhagen K, Denmark.</t>
  </si>
  <si>
    <t>Elberling, Bo/M-4000-2014</t>
  </si>
  <si>
    <t>Elberling, Bo/0000-0002-6023-885X</t>
  </si>
  <si>
    <t>10.2307/1552533</t>
  </si>
  <si>
    <t>WOS:000089252500013</t>
  </si>
  <si>
    <t>Nijs, I; Kockelbergh, F; Heuer, M; Beyens, L; Trappeniers, K; Impens, I</t>
  </si>
  <si>
    <t>Climate-warming simulation in tundra: Enhanced precision and repeatability with an improved infrared-heating device</t>
  </si>
  <si>
    <t>TEMPERATURE INCREASE FATI; PLANTS; VEGETATION; RESPONSES; GROWTH; FIELD</t>
  </si>
  <si>
    <t>Climate-warming experiments in tundra require an accurate and repeatable tech nique for temperature increase, as temperatures are low and vegetation often heterogeneous. However, remote locations have constrained most studies to using uncontrolled, passive enclosures. Here we present an improved prototype of our Free Air Temperature Increase (FATI) system, an apparatus to elevate vegetation temperature in the open field by electronically modulated infrared irradiation. Three modifications are introduced to enhance precision and repeatability: (1) noncontact sensing of canopy temperature (T-canopy) with semiconductors, (2) an optimizing device to attune individual FATI-units, and (3) high-speed data logging. Performance tests in the High hectic tundra of northeast Greenland during autumn 1998 demonstrated more reproducible warming compared with the original system: average increments of canopy temperature (Delta T-canopy) obtained in different patches of vegetation varied no more than 0.16 degrees C. Most fluctuation in Delta T-canopy was also eliminated, with instantaneous values within +/-0.5 degrees C of the target increment of +2.5 degrees C for at least 87% of the time. Average: warming in the upper soil layers was close to average Delta T-canopy, and decreased gradually with depth from +2.7 degrees C at 2.5 cm to +2.0 degrees C at 20 cm below the surface (means for three FATI-units). The improved technique is not only of interest to investigations in the Arctic, but also to other applications which depend highly on accurate temperature control, for example, studies of climate-warming effect on ecosystem carbon balance or plant growth.</t>
  </si>
  <si>
    <t>Univ Instelling Antwerp, Lab Plant Ecol, Dept Biol, B-2610 Wilrijk, Belgium; Univ Antwerp, Lab Arctic Ecol Limnol &amp; Paleobiol, Dept Biol, B-2020 Antwerp, Belgium</t>
  </si>
  <si>
    <t>University of Antwerp; University of Antwerp</t>
  </si>
  <si>
    <t>Nijs, I (corresponding author), Univ Instelling Antwerp, Lab Plant Ecol, Dept Biol, Univ Pl 1, B-2610 Wilrijk, Belgium.</t>
  </si>
  <si>
    <t>Nijs, Ivan/0000-0003-3111-680X</t>
  </si>
  <si>
    <t>10.2307/1552534</t>
  </si>
  <si>
    <t>WOS:000089252500014</t>
  </si>
  <si>
    <t>Kaplan, SA; Woollett, JM</t>
  </si>
  <si>
    <t>Challenges and choices: Exploring the interplay of climate, history, and culture on Canada's Labrador coast</t>
  </si>
  <si>
    <t>SEA-ICE; ATMOSPHERIC CIRCULATION; REGION; CORE</t>
  </si>
  <si>
    <t>The Inuit of late 18th-century Labrador Lived in large communal houses, participated in long-distance trade networks, and maintained relatively elaborate economic and political organizations. For 25 yr archaeologists and ethnohistorians have debated the significance of these characteristics. Some propose that these practices are indicators of stress resulting from deteriorated environmental conditions, others see them as signs of economic success due, in part, to exploitation of Europeans visiting the coast. This paper examines the convergence of environment, history, and culture in late 18th-century Labrador The authors argue that the Inuit experienced generally stable and moderate climatic conditions at this time. They were able to live with a degree of security, even accumulate surpluses, as a result of their flexible social and economic structure and the natural resources available to them. During this same period, Europeans visited Labrador in growing numbers and Moravian missionaries established mission stations amongst the Inuit. The Europeans' presence presented the Inuit with economic opportunities, while also posing significant spiritual and social threats. The Inuit responded by amplifying and elaborating some of their cultural practices in order to secure economic advantages, but also as a form of social resistance. Paleoenvironmental, ethnohistorical, and archaeological data indicate that late 18th-century Labrador Inuit enjoyed economic success while experiencing profound social distress.</t>
  </si>
  <si>
    <t>Bowdoin Coll, Peary MacMillan Arctic Museum &amp; Arctic Studies Ct, Brunswick, ME 04011 USA</t>
  </si>
  <si>
    <t>Bowdoin College</t>
  </si>
  <si>
    <t>Kaplan, SA (corresponding author), Bowdoin Coll, Peary MacMillan Arctic Museum &amp; Arctic Studies Ct, Brunswick, ME 04011 USA.</t>
  </si>
  <si>
    <t>skaplan@bowdoin.edu; jwollett@bowdoin.edu</t>
  </si>
  <si>
    <t>10.2307/1552535</t>
  </si>
  <si>
    <t>Science Citation Index Expanded (SCI-EXPANDED); Social Science Citation Index (SSCI); Arts &amp; Humanities Citation Index (A&amp;HCI)</t>
  </si>
  <si>
    <t>WOS:000089252500015</t>
  </si>
  <si>
    <t>Kaersvang, LL; Weber, WA; Ives, JD</t>
  </si>
  <si>
    <t>Doris Love 1918-2000 - In memoriam</t>
  </si>
  <si>
    <t>Biographical-Item</t>
  </si>
  <si>
    <t>Univ Colorado, Boulder, CO 80309 USA; Carleton Univ, Ottawa, ON K1S 5B6, Canada</t>
  </si>
  <si>
    <t>University of Colorado System; University of Colorado Boulder; Carleton University</t>
  </si>
  <si>
    <t>10.1080/15230430.2000.12003375</t>
  </si>
  <si>
    <t>WOS:000089252500016</t>
  </si>
  <si>
    <t>Pellatt, MG; Smith, MJ; Mathews, RW; Walker, IR; Palmer, SL</t>
  </si>
  <si>
    <t>Holocene treeline and climate change in the subalpine zone near Stoyoma Mountain, south-western British Columbia, Canada (vol 32, pg 73, 2000)</t>
  </si>
  <si>
    <t>Pellatt, Marlow/AAU-6156-2021</t>
  </si>
  <si>
    <t>WOS:000089252500017</t>
  </si>
  <si>
    <t>Burgess, CP; Zuber, K</t>
  </si>
  <si>
    <t>Footprints of the newly discovered Vela supernova in Antarctic ice cores?</t>
  </si>
  <si>
    <t>ASTROPARTICLE PHYSICS</t>
  </si>
  <si>
    <t>supernova</t>
  </si>
  <si>
    <t>HALF-LIFE; REMNANT; TI-44; PROGENITOR</t>
  </si>
  <si>
    <t>The recently discovered, nearby young supernova remnant in the southeast corner of the older Vela supernova remnant may have been seen in measurements of nitrate abundances in Antarctic ice cores. Such an interpretation of this 20-year-old ice-core data would provide a more accurate dating of this supernova than is possible purely using astrophysical techniques. It permits an inference of the supernova's Ti-44 yield purely on an observational basis, without reference to supernova modelling. The resulting estimates of the supernova distance and light-arrival time are 200 pc and 700 years ago, implying an expansion speed of 5000 km/s for the supernova remnant. Such an expansion speed has been argued elsewhere to imply the explosion to have been a 15 M. Type II supernova. This interpretation also adds new evidence to the debate as to whether nearby supernovae can measurably affect nitrate abundances in polar ice cores. (C) 2000 Elsevier Science B.V. All rights reserved.</t>
  </si>
  <si>
    <t>Univ Dortmund, Lehrstuhl Expt Phys 4, D-44221 Dortmund, Germany; McGill Univ, Dept Phys, Montreal, PQ H3A 2T8, Canada</t>
  </si>
  <si>
    <t>Dortmund University of Technology; McGill University</t>
  </si>
  <si>
    <t>Zuber, K (corresponding author), Univ Dortmund, Lehrstuhl Expt Phys 4, Otto-Hahn Str 4, D-44221 Dortmund, Germany.</t>
  </si>
  <si>
    <t>0927-6505</t>
  </si>
  <si>
    <t>ASTROPART PHYS</t>
  </si>
  <si>
    <t>Astropart Phys.</t>
  </si>
  <si>
    <t>10.1016/S0927-6505(00)00102-X</t>
  </si>
  <si>
    <t>354AG</t>
  </si>
  <si>
    <t>WOS:000089307200001</t>
  </si>
  <si>
    <t>Orsini, A; Calzolari, F; Georgiadis, T; Levizzani, V; Nardino, M; Pirazzini, R; Rizzi, R; Sozzi, R; Tomasi, C</t>
  </si>
  <si>
    <t>Parameterisation of surface radiation flux at an Antarctic site</t>
  </si>
  <si>
    <t>ATMOSPHERIC RESEARCH</t>
  </si>
  <si>
    <t>radiation flux; solar radiation; terrestrial radiation; cloud cover index</t>
  </si>
  <si>
    <t>CLEAR SKIES</t>
  </si>
  <si>
    <t>During the Antarctic summer 1994/95 the Values of downward and upward flux densities of both solar and terrestrial radiation were recorded at 1200 m for a period of 1 month on the Reeves Neve Glacier (lat 74 degrees 39'S, long 161 degrees 35'E), near the Italian base of Terra Nova Bay. The relations proposed by Swinbank [Swinbank, W.C., 1963. Long-wave radiation from clear skies. Q. J. R, Meteorol. Sec. 89, 339-338], Idso and Jackson [Idso, S.B., Jackson, R.D., 1969. Thermal radiation from the atmosphere, J. Geophys. Res. 74, 5397-5403] and Deacon [Deacon, E.L., 1970. The derivation of Swinbank's long-wave radiation formula. Q. J. R. Meteorol. Sec. 96, 313-319] associating the long-wave atmospheric radiation flux only to the air temperature at screen level were tested in extreme Antarctic climatological condition. A relation between the long-wave radiation flux and both screen air temperature and cloud cover fraction in accordance to the height of the cloud base was defined using the Kasten and Czeplak relationship that relates the solar radiation flux and the cloud cover index. The study of the incoming short-wave radiation flux from the clear sky and that reflected by the surrounding snow cover allowed for highlighting the role of surface geometry on the albedo measurements. (C) 2000 Elsevier Science B.V. All rights reserved.</t>
  </si>
  <si>
    <t>CNR, ISAO, Inst Atmospher &amp; Ocean Sci, I-40129 Bologna, Italy; Univ Bologna, Dept Phys, I-40127 Bologna, Italy; Serv Terr, I-20096 Cinisello Balsamo, Italy</t>
  </si>
  <si>
    <t>Consiglio Nazionale delle Ricerche (CNR); University of Bologna</t>
  </si>
  <si>
    <t>Georgiadis, T (corresponding author), CNR, ISAO, Inst Atmospher &amp; Ocean Sci, Via Gobetti 101, I-40129 Bologna, Italy.</t>
  </si>
  <si>
    <t>Nardino, Marianna/B-9563-2015; Rizzi, Rolando/L-3556-2013; Georgiadis, Teodoro/AAH-4342-2019; Levizzani, Vincenzo/A-9070-2013; Georgiadis, Teodoro/I-5666-2012</t>
  </si>
  <si>
    <t>Georgiadis, Teodoro/0000-0002-3103-038X; Levizzani, Vincenzo/0000-0002-7620-5235; Georgiadis, Teodoro/0000-0002-3103-038X; Calzolari, Francescopiero/0000-0003-4535-9626; Nardino, Marianna/0000-0001-9466-8340; RIZZI, ROLANDO/0000-0001-7792-7806</t>
  </si>
  <si>
    <t>0169-8095</t>
  </si>
  <si>
    <t>ATMOS RES</t>
  </si>
  <si>
    <t>Atmos. Res.</t>
  </si>
  <si>
    <t>10.1016/S0169-8095(00)00047-8</t>
  </si>
  <si>
    <t>338ZY</t>
  </si>
  <si>
    <t>WOS:000088454200004</t>
  </si>
  <si>
    <t>Franks, AJ; Bergstrom, DM</t>
  </si>
  <si>
    <t>Corticolous bryophytes in microphyll fern forests of south-east Queensland:: distribution on Antarctic beech (Nothofagus moorei)</t>
  </si>
  <si>
    <t>AUSTRAL ECOLOGY</t>
  </si>
  <si>
    <t>Border Ranges; cool-temperate rainforest; epiphyte; Lamington National Park; liverwort; moss</t>
  </si>
  <si>
    <t>RAIN-FOREST; FLORA</t>
  </si>
  <si>
    <t>Fine-scale variation in corticolous bryophyte communities was examined on the lower trunk of Antarctic beech (Nothofagus moorei) trees within microphyll fern forests of south-east Queensland. Analysis of the variation revealed that the composition and structure of the community altered with both the height above ground level and the direction of exposure. Patterns of distribution were thought to primarily reflect changes in the moisture availability on and around the basal trunk of Nothofagus moorei trees and the degree of desiccation tolerance exhibited by the various taxa.</t>
  </si>
  <si>
    <t>Univ Queensland, Dept Bot, St Lucia, Qld 4072, Australia</t>
  </si>
  <si>
    <t>Franks, AJ (corresponding author), Dept Nat Resources, Nat Sci Precinct, Meiers Rd, Indooroopilly, Qld 4068, Australia.</t>
  </si>
  <si>
    <t>Bergstrom, Dana/AAC-2837-2022</t>
  </si>
  <si>
    <t>Bergstrom, Dana/0000-0001-8484-8954; Franks, Andrew/0000-0002-7025-9822</t>
  </si>
  <si>
    <t>1442-9985</t>
  </si>
  <si>
    <t>AUSTRAL ECOL</t>
  </si>
  <si>
    <t>Austral Ecol.</t>
  </si>
  <si>
    <t>10.1046/j.1442-9993.2000.01048.x</t>
  </si>
  <si>
    <t>351KK</t>
  </si>
  <si>
    <t>WOS:000089156200013</t>
  </si>
  <si>
    <t>Burton, H; McMahon, C; van den Hoff, J</t>
  </si>
  <si>
    <t>Seals: Antarctic Div's view</t>
  </si>
  <si>
    <t>AUSTRALIAN VETERINARY JOURNAL</t>
  </si>
  <si>
    <t>McMahon, Clive R/D-5713-2013</t>
  </si>
  <si>
    <t>McMahon, Clive R/0000-0001-5241-8917</t>
  </si>
  <si>
    <t>AUSTRALIAN VETERINARY ASSN</t>
  </si>
  <si>
    <t>MELBOURNE</t>
  </si>
  <si>
    <t>272 BRUNSWICK RD BRUNSWICK, MELBOURNE, VIC 3056, AUSTRALIA</t>
  </si>
  <si>
    <t>0005-0423</t>
  </si>
  <si>
    <t>AUST VET J</t>
  </si>
  <si>
    <t>Aust. Vet. J.</t>
  </si>
  <si>
    <t>Veterinary Sciences</t>
  </si>
  <si>
    <t>342RJ</t>
  </si>
  <si>
    <t>WOS:000088658700022</t>
  </si>
  <si>
    <t>McElligott, AG; Hayden, TJ</t>
  </si>
  <si>
    <t>Lifetime mating success, sexual selection and life history of fallow bucks (Dama dama)</t>
  </si>
  <si>
    <t>BEHAVIORAL ECOLOGY AND SOCIOBIOLOGY</t>
  </si>
  <si>
    <t>fellow deer; life history theory; mating success; survival trade-offs</t>
  </si>
  <si>
    <t>ANTARCTIC FUR SEALS; RED DEER; REPRODUCTIVE EFFORT; GROUND-SQUIRRELS; COPULATORY SUCCESS; BIGHORN SHEEP; MATE CHOICE; COSTS; AGE; DOMINANCE</t>
  </si>
  <si>
    <t>We used data from a long-term study (15 years) of fallow deer to report for the first time the lifetime mating success, overall variance in lifetime mating success, and age-specific mortality levels of males. Fallow bucks that gain matings have higher social dominance rank, higher rates of fighting, and invest more in vocal display during the breeding season than unsuccessful males. Therefore, we examined if mating was associated with trade-offs in terms of survival, lifespan, and mating potential. We found that the variance in lifetime mating success was very high: 34 (10.7%) males mated, and of those, the 10 most successful males gained 73% of all matings (n=934). Mortality rates were generally high and only 22.3% (71/318) of males reached social maturity, i.e., 3 years. The oldest male was 13 years old. We found that fallow bucks that mated were not more likely to die during the following year, did not suffer from a reduction in lifespan, and did not incur lower mating success later in lift: au a result of mating during the early years of social maturity. Our results show that mating males at age 5 years (and possibly 9 years) may be more likely to survive than non-mating males. Additionally, the number of matings gained by males during the first years of social maturity was positively correlated with lifespan. We suggest that mating males are of higher quality than non-mating males because they are not more likely to incur tl ade-offs as a result of their increased reproductive efforts.</t>
  </si>
  <si>
    <t>Natl Univ Ireland Univ Coll Dublin, Dept Zool, Mammal Res Grp, Dublin 4, Ireland</t>
  </si>
  <si>
    <t>University College Dublin</t>
  </si>
  <si>
    <t>Univ Zurich, Inst Zool, Winterthurerstr 190, CH-8057 Zurich, Switzerland.</t>
  </si>
  <si>
    <t>amcellig@zool.unizh.ch</t>
  </si>
  <si>
    <t>McElligott, Alan G./ABC-1179-2020</t>
  </si>
  <si>
    <t>McElligott, Alan G./0000-0001-5770-4568</t>
  </si>
  <si>
    <t>0340-5443</t>
  </si>
  <si>
    <t>1432-0762</t>
  </si>
  <si>
    <t>BEHAV ECOL SOCIOBIOL</t>
  </si>
  <si>
    <t>Behav. Ecol. Sociobiol.</t>
  </si>
  <si>
    <t>10.1007/s002650000234</t>
  </si>
  <si>
    <t>Behavioral Sciences; Ecology; Zoology</t>
  </si>
  <si>
    <t>Behavioral Sciences; Environmental Sciences &amp; Ecology; Zoology</t>
  </si>
  <si>
    <t>352DK</t>
  </si>
  <si>
    <t>WOS:000089199100005</t>
  </si>
  <si>
    <t>Samways, MJ</t>
  </si>
  <si>
    <t>A conceptual model of ecosystem restoration triage based on experiences from three remote oceanic islands</t>
  </si>
  <si>
    <t>BIODIVERSITY AND CONSERVATION</t>
  </si>
  <si>
    <t>7th International Congress of Ecology</t>
  </si>
  <si>
    <t>JUL 19-25, 1998</t>
  </si>
  <si>
    <t>FLORENCE, ITALY</t>
  </si>
  <si>
    <t>conceptual model; ecosystem restoration triage; oceanic islands</t>
  </si>
  <si>
    <t>EASTER ISLAND; CONSERVATION; HISTORY</t>
  </si>
  <si>
    <t>A conceptual model, that illustrates restoration, ecological landscaping, rehabilitation and regreening, is developed. It considers biocentric, historical, aesthetic and engineering aspects. The term ecosystem restoration triage is used because the first step is to decide whether to 'do nothing' (because, on the one hand, the system is too degraded to warrant restoration, or, on the other, because biological integrity is relatively intact and therefore either none, or minimal, restoration is required) or to 'do something' (because restoration is worthwhile, urgent and feasible). This approach hinges on the definition that restoration in the strictist sense is a biocentric activity that returns the 'original' compositional, structural and functional diversity, along with its dynamics and natural evolutionary potential. 'Original' is a difficult qualifier as it depends on just how far back in time we go. Where human values are involved, this is not restoration in the pure sense of restoring ecological integrity, but is ecological landscaping, rehabilitation or regreening. Experience from three remote oceanic islands [Easter Island, Cousine Island (Seychelles), Marion Island (Sub-Antarctic)] and which represent near extremes of this model are used to illustrate it.</t>
  </si>
  <si>
    <t>Univ Natal, Sch Bot &amp; Zool, Invertebrate Conservat Res Ctr, ZA-3209 Pietermaritzburg, South Africa</t>
  </si>
  <si>
    <t>Samways, MJ (corresponding author), Univ Natal, Sch Bot &amp; Zool, Invertebrate Conservat Res Ctr, Private Bag X01, ZA-3209 Pietermaritzburg, South Africa.</t>
  </si>
  <si>
    <t>Samways, Michael J./0000-0003-4237-6025</t>
  </si>
  <si>
    <t>0960-3115</t>
  </si>
  <si>
    <t>BIODIVERS CONSERV</t>
  </si>
  <si>
    <t>Biodivers. Conserv.</t>
  </si>
  <si>
    <t>10.1023/A:1008974702634</t>
  </si>
  <si>
    <t>341HP</t>
  </si>
  <si>
    <t>WOS:000088585200006</t>
  </si>
  <si>
    <t>Barnes, DKA; Dick, MH</t>
  </si>
  <si>
    <t>Overgrowth competition between clades: Implications for interpretation of the fossil record and overgrowth indices</t>
  </si>
  <si>
    <t>BIOLOGICAL BULLETIN</t>
  </si>
  <si>
    <t>ENCRUSTING MARINE ORGANISMS; EPIFAUNAL COMMUNITIES; CHEILOSTOME BRYOZOANS; SUBTIDAL ZONE; INTRANSITIVITY; ASSEMBLAGE; CYCLOSTOME; ECOLOGY; SPACE; HIERARCHIES</t>
  </si>
  <si>
    <t>Overgrowth interactions (2693 in total) were observed among three major groups (arguably clades) of bryozoans-cheilostomatids (57 species), ctenostomatids (3 species), and cyclostomatids (14 species). The bryozoans studied here occur in shallow water at high-temperate polar latitudes where they encrust hard substrata such as rock piles. The main study site was the intertidal and infralittoral zones of Kodiak Island, Alaska, but observations were also made in similar zones of South Georgia Island and the Falkland Islands in the South Atlantic Ocean. Cheilostomatids dominated the number of species, individuals, and interactions at all depths. Intraclade interactions formed 73.7% of the encounters for cheilostomatids, 1.6% for ctenostomatids, and 5.7% for cyclostomatids. The competitive ranking of the three clades was broadly ctenostomatids &gt; cyclostomatids &gt; cheilostomatids. Significantly, these results contradict all previous quantitative studies of bryozoan overgrowth, in which cheilostomatids are reported to overgrow cyclostomatids at a higher rate. From these studies and the literature, we calculated win indices to vary from 0 to 0.42 for living cyclostomatids, from 0.08 to 0.9 for living cheilostomatids, and from 0.25 to 0.75 for living ctenostomatids. The win indices of cyclostomatid and cheilostomatid clades show significantly more variation in living assemblages than in fossil assemblages. This disparity may be due to differential preservation (polar and subpolar assemblages last less than 4 years). The diversity was very high in terms of both species richness and interaction types (outcomes between competitor pairs). Comparison with the literature suggests the possibility that nearshore diversity of bryozoans may be bimodal (have two peaks) between high arctic and antarctic latitudes. Indices of success in overgrowth competition have been constructed in various ways. For cheilostomatids, the method of calculation had little influence on the ranking of representatives. In contrast, the apparent success of ctenostomatids and cyclostomatids varied hugely with how the index was calculated. This inconsistency is due to the use of very different strategies in overgrowth competition; among the two latter groups, many interactions involve tied outcomes.</t>
  </si>
  <si>
    <t>Natl Univ Ireland Univ Coll Cork, Dept Zool &amp; Anim Ecol, Cork, Ireland; Middlebury Coll, Dept Biol, Middlebury, VT 05753 USA</t>
  </si>
  <si>
    <t>University College Cork</t>
  </si>
  <si>
    <t>Dick, Matthew/E-1327-2012</t>
  </si>
  <si>
    <t>MARINE BIOLOGICAL LABORATORY</t>
  </si>
  <si>
    <t>WOODS HOLE</t>
  </si>
  <si>
    <t>7 MBL ST, WOODS HOLE, MA 02543 USA</t>
  </si>
  <si>
    <t>0006-3185</t>
  </si>
  <si>
    <t>BIOL BULL</t>
  </si>
  <si>
    <t>Biol. Bull.</t>
  </si>
  <si>
    <t>10.2307/1542710</t>
  </si>
  <si>
    <t>Biology; Marine &amp; Freshwater Biology</t>
  </si>
  <si>
    <t>Life Sciences &amp; Biomedicine - Other Topics; Marine &amp; Freshwater Biology</t>
  </si>
  <si>
    <t>347UA</t>
  </si>
  <si>
    <t>WOS:000088946500011</t>
  </si>
  <si>
    <t>D'Arrigo, R; Cook, E; Villalba, R; Buckley, B; Salinger, J; Palmer, J; Allen, K</t>
  </si>
  <si>
    <t>Trans-Tasman Sea climate variability since AD 1740 inferred from middle to high latitude tree-ring data</t>
  </si>
  <si>
    <t>ANTARCTIC CIRCUMPOLAR WAVE; NEW-ZEALAND; TIME-SERIES; TEMPERATURE; PRESSURE; RECORDS</t>
  </si>
  <si>
    <t>The limited length and spatial coverage of instrumental climate data for many areas of the Southern Hemisphere impedes the study of atmosphere-ocean dynamics prior to the past century. Such analyses are important for understanding interannual to decadal variation of the Southern Hemisphere circulation and whether recent changes are related to anthropogenic effects rather than natural variability. We use a middle- to high-latitude tree-ring width data set (from Tasmania, New Zealand and Tierra del Fuego) to reconstruct sealevel pressure (SLP) variability spanning the Tasman Sea and vicinity since AD 1740. The variables reconstructed are austral summer (November-March) SLP for Hobart, Tasmania (43 degrees S, 147 degrees E) and the Chatham Islands, New Zealand (44 degrees S, 177 degrees E), as well as a meridional circulation index (Hobart-Chatham Islands index) which measures the pressure gradient between these two stations. The three reconstructions are well verified statistically and capture between 40 and 48% of the variance in the SLP data. The instrumental and estimated SLP show similar spatial patterns of correlation with the sea surface temperature (SST) field for the Pacific. Statistically significant (above 95% level) 3-3.5 year spectral peaks are identified in the three reconstructions using multitaper spectral analysis, and a significant 4-5 year peak is found in both the Chatham Islands and Hobart-Chatham Islands SLP reconstructions. These two modes are within the bandwidth of the El Nino-Southern Oscillation. Although very speculative, they may also correspond to a proposed Antarctic circumpolar wave of SLP, SST, wind and sea-ice extent, believed to play a key role in atmosphere-ocean circulation for the Southern Hemisphere.</t>
  </si>
  <si>
    <t>Lamont Doherty Earth Observ, Tree Ring Lab, Palisades, NY 10964 USA; CRICYT, IANIGLA, Tree Ring Lab, Mendoza, Argentina; NIWA, Auckland, New Zealand; Lincoln Univ, Lincoln, New Zealand; Univ Tasmania, Dept Geog &amp; Environm Studies, Sandybay, Tas 7005, Australia</t>
  </si>
  <si>
    <t>Columbia University; University Nacional Cuyo Mendoza; Consejo Nacional de Investigaciones Cientificas y Tecnicas (CONICET); National Institute of Water &amp; Atmospheric Research (NIWA) - New Zealand; University of Tasmania</t>
  </si>
  <si>
    <t>D'Arrigo, R (corresponding author), Lamont Doherty Earth Observ, Tree Ring Lab, Palisades, NY 10964 USA.</t>
  </si>
  <si>
    <t>Palmer, Jonathan/J-7834-2012; Allen, Kathryn/AAH-8535-2019</t>
  </si>
  <si>
    <t>Palmer, Jonathan/0000-0002-6665-4483; Allen, Kathryn/0000-0002-8403-4552; Villalba, Ricardo/0000-0001-8183-0310; Buckley, Brendan/0000-0003-1544-8003</t>
  </si>
  <si>
    <t>10.1007/s003820000070</t>
  </si>
  <si>
    <t>347RY</t>
  </si>
  <si>
    <t>WOS:000088944000004</t>
  </si>
  <si>
    <t>Mikolajewicz, U; Voss, R</t>
  </si>
  <si>
    <t>The role of the individual air-sea flux components in CO2-induced changes of the ocean's circulation and climate</t>
  </si>
  <si>
    <t>ATMOSPHERE MODEL; THERMOHALINE CIRCULATION; NORTH-ATLANTIC; GREENHOUSE-GAS; CARBON-DIOXIDE; CO2; GCM; INCREASE; SIMULATIONS; STABILITY</t>
  </si>
  <si>
    <t>In this study we investigate the role of heat, freshwater and momentum fluxes in changing the oceanic climate and thermohaline circulation as a consequence of increasing atmospheric CO2 concentration. Two baseline integrations with a fully coupled ocean atmosphere general circulation model with either fixed or increasing atmospheric CO2 concentrations have been performed. In a set of sensitivity experiments either freshwater (precipitation, evaporation and runoff from the continents) and/or momentum fluxes were no longer simulated, but prescribed according to one of the fully coupled baseline experiments. This approach gives a direct estimate of the contribution from the individual flux components. The direct effect of surface warming and the associated feedbacks in ocean circulation are the dominant processes in weakening the Atlantic thermohaline circulation in our model. The relative contribution of momentum and freshwater fluxes to the total response turned out to be less than 25% each. Changes in atmospheric water vapour transport lead to enhanced freshwater input into middle and high latitudes, which weakens the overturning. A stronger export of freshwater from the Atlantic drainage basin to the Indian and Pacific ocean, on the other hand, intensifies the Atlantic overturning circulation. In total the modified freshwater fluxes slightly weaken the Atlantic thermohaline circulation. The contribution of the modified momentum fluxes has a similar magnitude, but enhances the formation of North Atlantic deep water. Salinity anomalies in the Atlantic as a consequence of greenhouse warming stem in almost equal parts from changes in net freshwater fluxes and from changes in ocean circulation caused by the surface warming due to atmospheric heat fluxes. Important effects of the momentum fluxes are a poleward shift of the front between Northern Hemisphere subtropical and subpolar gyres and a southward shift in the position of the Antarctic circumpolar current, with a clear signal in sea level.</t>
  </si>
  <si>
    <t>Max Planck Inst Meteorol, D-20146 Hamburg, Germany</t>
  </si>
  <si>
    <t>Mikolajewicz, U (corresponding author), Max Planck Inst Meteorol, Bundesstr 55, D-20146 Hamburg, Germany.</t>
  </si>
  <si>
    <t>10.1007/s003820000066</t>
  </si>
  <si>
    <t>WOS:000088944000006</t>
  </si>
  <si>
    <t>Kozlova, TA; Khotimchenko, SV</t>
  </si>
  <si>
    <t>Lipids and fatty acids of two pelagic cottoid fishes (Comephorus spp.) endemic to Lake Baikal</t>
  </si>
  <si>
    <t>Lake Baikal; cottoid fish; lipid content; fatty acid; phospholipid</t>
  </si>
  <si>
    <t>ANTARCTIC FISH; BUOYANCY; COTTOCOMEPHORUS; BIOCHEMISTRY; ADAPTATION</t>
  </si>
  <si>
    <t>Matured females of two Lake Baikal endemic fish species, Comephorus baicalensis and Comephorus dybowski, have been investigated for lipid of the whole body and specific tissues (liver, muscles, ovaries), phospholipid classes and fatty acids of neutral and polar lipids. Total lipid in the body (38.9% fresh weight), liver (23.5%) and muscles (14.5%) of C. baicalensis were greater than those of C. dybowski (4.7, 8.7 and 2.6%, respectively); only their ovaries were similar (5.3 and 5.6% lipid, respectively). In both species, phosphatidylcholine and phosphatidylethanolamine were the major phospholipids, ranging from 60.7 to 75.1% of total phospholipid and 14.5-25.7%, respectively. In most cases, monounsaturated fatty acids (MUFA) were the major fatty acid group in C. baicalensis, whereas polyunsaturated fatty acids (PUFA) were the major group in C. dybowski. The MUFA 18:1(n-9) prevailed over other fatty acids in C. baicalensis and varied from 19% in polar lipids of muscles to 56.1% in neutral lipids of muscles. In polar lipid of C. dybowski, the PUFA 22:6(n-3) prevailed over other fatty acids in muscles and ovaries, while 16:0 dominated polar liver lipids and neutral lipids of all tissues. Other major fatty acids included 16:1(n-7), 18:1(n-7), and 20:5(n-3). Values of the (n-3)/(n-6) fatty acid ratio for neutral lipids of C. baicalensis (0.5-0.9) are well below the range of values characteristic either for marine or Freshwater fish, while these values for polar lipids (1.6-1.8) are in the range typical of freshwater fish. Neutral lipid fatty acid ratios in C. dybowski (2.5-3.1) allow it to be assigned to freshwater fish, but polar lipids (2.8-3.7) leave it intermediary between freshwater and marine fish. (C) 2000 Elsevier Science Inc. All rights reserved.</t>
  </si>
  <si>
    <t>Russian Acad Sci, SB, Limnol Inst, Irkutsk 664033, Russia; RAS, FEB, Inst Marine Biol, Vladivostok 690041, Russia</t>
  </si>
  <si>
    <t>Irkutsk Science Centre of the Russian Academy of Sciences; Russian Academy of Sciences; Limnological Institute SB RAS; Russian Academy of Sciences; National Scientific Center of Marine Biology, Far East Branch of the Russian Academy of Sciences</t>
  </si>
  <si>
    <t>Kozlova, TA (corresponding author), Russian Acad Sci, SB, Limnol Inst, POB 4199, Irkutsk 664033, Russia.</t>
  </si>
  <si>
    <t>0305-0491</t>
  </si>
  <si>
    <t>10.1016/S0305-0491(00)00207-8</t>
  </si>
  <si>
    <t>342TY</t>
  </si>
  <si>
    <t>WOS:000088662300002</t>
  </si>
  <si>
    <t>Petrizzo, MR</t>
  </si>
  <si>
    <t>Upper Turonian-lower Campanian planktonic foraminifera from southern mid-high latitudes (Exmouth Plateau, NW Australia): biostratigraphy and taxonomic notes</t>
  </si>
  <si>
    <t>CRETACEOUS RESEARCH</t>
  </si>
  <si>
    <t>planktonic foraminifera; biostratigraphy; late mid-Turonian-early Campanian; southern mid-high latitudes; taxonomy</t>
  </si>
  <si>
    <t>A planktonic foraminiferal zonal scheme is presented for subdivision of the Upper Cretaceous pelagic carbonate sequence from southern mid-high latitudes. Definition of the zones is based on first and last occurrences of planktonic foraminifera from Ocean Drilling Program Holes 762C and 763B (Leg 122; Exmouth Plateau, south Indian Ocean). During the Late Cretaceous the studied holes were located close to 50 degrees S and for the first time a complete sedimentary record for the mid-high latitudes was obtained. A detailed biostratigraphic analysis has allowed recognition of two new zones (Falsotruncana maslakovae Zone and Marginotruncana marianosi Zone) for the interval extending from the last occurrence of Helvetoglobotruncana helvetica to the first occurrence of Dicarinella asymetrica (upper Turonian-lower Santonian). From this study it is apparent that some low latitude (Globotruncana ventricosa, Hedbergella flandrini, Marginotruncana marianosi) and high latitude (Globigerinelloides impensus and Hedbergella sliteri) marker taxa display a vertical distribution at mid-high latitudes which is different from that known from low latitudes; moreover, one species (Heterohelix papula), overlooked at low latitudes, exhibits a restricted range that seems to be useful for chrono-biostratigraphic correlations: its appearance is suggested to coincide with the Coniacian/Santonian boundary. The proposed biozonation, which is integrated with calcareous nannofossil and magnetostratigraphic data available for the sections studied, is compared with both the low-latitude standard zonation and the planktonic foraminiferal zonal scheme for the circum-Antarctic region, in order to define a bio-chronostratigraphic scale that is useful for mid-high latitudes of the southern oceans. (C) 2000 Academic Press.</t>
  </si>
  <si>
    <t>Univ Milan, Dipartimento Sci Terra, I-20133 Milan, Italy</t>
  </si>
  <si>
    <t>University of Milan</t>
  </si>
  <si>
    <t>Univ Milan, Dipartimento Sci Terra, Via Mangiagalli 34, I-20133 Milan, Italy.</t>
  </si>
  <si>
    <t>mrose@e35.gp.terra.unimi.it</t>
  </si>
  <si>
    <t>Petrizzo, Maria Rose/U-6464-2019; Petrizzo, Maria Rose/M-8672-2013</t>
  </si>
  <si>
    <t>Petrizzo, Maria Rose/0000-0002-9584-8471</t>
  </si>
  <si>
    <t>0195-6671</t>
  </si>
  <si>
    <t>1095-998X</t>
  </si>
  <si>
    <t>CRETACEOUS RES</t>
  </si>
  <si>
    <t>Cretac. Res.</t>
  </si>
  <si>
    <t>10.1006/cres.2000.0218</t>
  </si>
  <si>
    <t>358LF</t>
  </si>
  <si>
    <t>WOS:000089559000003</t>
  </si>
  <si>
    <t>Mazumder, R; Pinkart, HC; Alban, PS; Phelps, TJ; Benoit, RE</t>
  </si>
  <si>
    <t>Low-substrate regulated microaerophilic behavior as a stress response of aquatic and soil bacteria</t>
  </si>
  <si>
    <t>CURRENT MICROBIOLOGY</t>
  </si>
  <si>
    <t>ESCHERICHIA-COLI; FATTY-ACIDS; PROTEINS; CYCLOPROPANE; SURVIVAL</t>
  </si>
  <si>
    <t>Low-substrate regulated microaerophilic behavior (LSRMB) was observed in 10-54% of the bacteria isolated from several fresh-water lakes or ponds, subsurface soils, activated sludge, and Antarctic dry valley soils. Five Pseudomonas and two Bacillus type species showed LSRMB. A subsurface Pseudomonas jessenii strain was used as a model to show the metabolic interaction between substrate and oxygen concentrations, cell band movement, and the appearance of unique stress lipids and proteins When the oxygen in the P, jessenii culture medium was increased from 11% to 100% saturation under atmospheric condition, the concentration of 17:0 cyclopropane fatty acid, a stress indicator, increased five-fold, and four unique proteins were also detected. This stress response occurred only in low-substrate media. It is our hypothesis that LSRMB is a common but under-appreciated trait of many aquatic and soil bacteria.</t>
  </si>
  <si>
    <t>Virginia Polytech Inst &amp; State Univ, Dept Biol, Blacksburg, VA 24061 USA; Cent Washington Univ, Dept Sci Biol, Ellensburg, WA 98926 USA; Oak Ridge Natl Lab, Div Environm Sci, Oak Ridge, TN 37831 USA</t>
  </si>
  <si>
    <t>Virginia Polytechnic Institute &amp; State University; Central Washington University; United States Department of Energy (DOE); Oak Ridge National Laboratory</t>
  </si>
  <si>
    <t>Benoit, RE (corresponding author), Virginia Polytech Inst &amp; State Univ, Dept Biol, Blacksburg, VA 24061 USA.</t>
  </si>
  <si>
    <t>phelps, tommy j/A-5244-2011</t>
  </si>
  <si>
    <t>Mazumder, Raja/0000-0001-8823-9945</t>
  </si>
  <si>
    <t>SPRINGER VERLAG</t>
  </si>
  <si>
    <t>0343-8651</t>
  </si>
  <si>
    <t>CURR MICROBIOL</t>
  </si>
  <si>
    <t>Curr. Microbiol.</t>
  </si>
  <si>
    <t>10.1007/s002840010097</t>
  </si>
  <si>
    <t>328VV</t>
  </si>
  <si>
    <t>WOS:000087872400001</t>
  </si>
  <si>
    <t>Tang, EPY; Vincent, WF</t>
  </si>
  <si>
    <t>Effects of daylength and temperature on the growth and photosynthesis of an Arctic cyanobacterium, Schizothrix calcicola (Oscillatoriaceae)</t>
  </si>
  <si>
    <t>EUROPEAN JOURNAL OF PHYCOLOGY</t>
  </si>
  <si>
    <t>Arctic; Antarctic; cyanobacteria; growth; photoperiod; photosynthesis; pigments; polar; respiration; temperature</t>
  </si>
  <si>
    <t>DIATOM SKELETONEMA-COSTATUM; GYRODINIUM-AUREOLUM HULBURT; TOTAL CARBON METABOLISMS; MARINE DIATOM; LIGHT-INTENSITY; CHEMICAL-COMPOSITION; PHOTOSYSTEM-II; GREEN-ALGAE; IRRADIANCE; PHYTOPLANKTON</t>
  </si>
  <si>
    <t>Cyanobacteria are often the dominant phototrophs in high-latitude lakes and streams where they must experience continuously low temperature and extreme variations in daylength. The present study examined the interaction between these two variables for the growth and physiology of an Arctic isolate of the mat-forming species Schizothrix calcicola (Agardh) Gomont. Growth rates (mu), photosynthesis (P), respiration (R), pigment composition and in vivo absorption characteristics were measured under 15 combinations of daylengths (8:16, 12:12, 16:8, 20:4 and 24:0 L/D) and temperatures (5, 15 and 25 degreesC). mu increased with increasing temperature (mu (max) at 5 degreesC = 0.12 d(-1), mu (max) at 25 degreesC = 0.28 d(-1)) and a similar trend was observed in photosynthetic capacity (average P-max(B) at 5 degreesC = 4.42 mg C (mg Chl a)(-1) h(-1), average P-max(B) at 25 degreesC = 5.74 mg C (mg Chl a)(-1) h(-1)), pigment content and absorbance. Daylength had a positive effect on mu and pigment absorption, but not pigment content. The shape of the mu -daylength curve varied with temperature: mu was a linear function of daylength at 5 degreesC, but at 15 and 25 degreesC the relationship resembled a rectangular hyperbola and mu saturated at 16:8 and 12:12 L/D, respectively. The non-linear relationship between mu and daylength at high temperature was related to a reduction in net photosynthesis under extended daylength; at 25 degreesC, net P under 24:0 L/D was 0.82+/-0.37 mg O-2 (mg Chl a)(-1) h(-1), while under 8:16 L/D, it was 6.54+/-0.69 mg O-2 (mg Chl n)(-1) h(-1). The constant increase in growth with increasing daylength at low temperature may reflect an adaptive tolerance to the combination of cold temperature and continuous daylight during the Arctic summer.</t>
  </si>
  <si>
    <t>0967-0262</t>
  </si>
  <si>
    <t>1469-4433</t>
  </si>
  <si>
    <t>EUR J PHYCOL</t>
  </si>
  <si>
    <t>Eur. J. Phycol.</t>
  </si>
  <si>
    <t>10.1080/09670260010001735861</t>
  </si>
  <si>
    <t>370HK</t>
  </si>
  <si>
    <t>WOS:000165117300006</t>
  </si>
  <si>
    <t>van Leeuwe, MA; De Baar, HJW</t>
  </si>
  <si>
    <t>Photoacclimation by the Antarctic flagellate Pyramimonas sp (Prasinophyceae) in response to iron limitation</t>
  </si>
  <si>
    <t>Antarctic; iron; irradiance; photoacclimation; photosynthesis; phytoplankton; pigments</t>
  </si>
  <si>
    <t>PHOTOSYNTHETIC EFFICIENCY; BIOCHEMICAL-COMPOSITION; DUNALIELLA-TERTIOLECTA; MARINE-PHYTOPLANKTON; PIGMENT COMPOSITION; GROWTH-IRRADIANCE; ENERGY-CONVERSION; SOUTHERN-OCEAN; PHOTOSYSTEM-II; LIGHT STRESS</t>
  </si>
  <si>
    <t>In this study we tested the hypothesis that iron limitation suppresses photoacclimation in cultures of the Antarctic flagellate Pyramimonas sp. The cultures were exposed to two different irradiances under iron-rich and iron-poor conditions. Light-harvesting capacity was determined by assessing the pigment composition and measuring in vivo absorption spectra. Light utilization efficiency (alpha) was determined from photosynthesis versus irradiance curves. The quantum yield of photosynthesis (phi (m)) was calculated using alpha and the absorption spectra. Iron limitation led to commonly observed changes in cells of Pyramimonas, that is, a decrease in cellular pigment content and a reduction in cellular carbon and nitrogen quota. A reduction in alpha (cell) followed a decrease in phi (m) and light-harvesting capacity. interpretation of the effects of iron limitation was different when considered on a carbon basis. Because iron limitation resulted in a decrease in cellular carbon content, the carbon-specific absorption coefficient was not affected. Consequently, the observed decrease in alpha (C) was mainly due to the decrease in phi (m), showing that iron limitation did not control light utilization via pigment synthesis but exerted control on energy transfer. This is supported by the findings that at high irradiance a shift in pigment ratios within the total pool of violaxanthin, antheraxanthin and zeaxanthin towards zeaxanthin, which is indicative of photoacclimation to high irradiance, was observed for iron-replete cells as well as for iron-depleted cells. In contrast to what is generally hypothesized, the effects of iron limitation were not enhanced at low irradiance. Low irradiance led to an increase in the cellular light-harvesting pigment content. This increase was less pronounced in iron-depleted cells than in iron-replete cells. However, looking at the light-harvesting capacity of the cells on a carbon basis, it was found that iron-depleted cells responded similarly to iron-replete cells. We therefore conclude that the light-harvesting capacity was governed by light conditions and not by iron limitation. In addition to the increase in absorption capacity at low irradiance, an increase in light utilization efficiency was measured, again under both iron-rich and iron-poor conditions. Notably, the relative increase in alpha (C) was strongest in iron-depleted cells. Photoacclimation was clearly demonstrated by normalizing alpha to chl alpha. For iron-replete cells, alpha (chl) was highest at high irradiance. In contrast, for iron-depleted cells alpha (chl) was highest at low irradiance. We argue that iron-depleted cells can photoacclimate to low irradiance by a reduction in the 'package effect' and reducing growth rates.</t>
  </si>
  <si>
    <t>Netherlands Inst Sea Res, NL-1790 AB Den Burg, Netherlands</t>
  </si>
  <si>
    <t>Utrecht University; Royal Netherlands Institute for Sea Research (NIOZ)</t>
  </si>
  <si>
    <t>van Leeuwe, MA (corresponding author), Univ Groningen, Dept Marine Biol, POB 14, NL-9750 AA Haren, Netherlands.</t>
  </si>
  <si>
    <t>10.1080/09670260010001735891</t>
  </si>
  <si>
    <t>WOS:000165117300009</t>
  </si>
  <si>
    <t>Gomes, J; Gomes, I; Steiner, W</t>
  </si>
  <si>
    <t>Thermolabile xylanase of the Antarctic yeast Cryptococcus adeliae:: production and properties</t>
  </si>
  <si>
    <t>Antarctic yeast; Cryptococcus adeliae; thermolabile xylanase; medium optimization; production; properties</t>
  </si>
  <si>
    <t>LOW-TEMPERATURE; ENZYMES; COLD; METALLOPROTEASE; MICROORGANISMS; SYSTEMS</t>
  </si>
  <si>
    <t>Xylanase production by the Antarctic psychrophilic yeast Cryptococcus adeliae was increased 4.3 fold by optimizing the culture medium composition using statistical designs. The optimized medium containing 24.2 g l(-1) xylan and 10.2 g l(-1) yeast extract and having an initial pH of 7.5 yielded xylanase activity at 400 nkat (nanokatal) ml(-1) after 168-h shake culture at 4 degrees C. In addition, very little endoglucanase, beta-mannanase, beta-xylosidase, beta-glucosidase, alpha-L-arabinofuranosidase, and no filter paper cellulase activities were detected. Among 12 carbon sources tested, maximum xylanase activity was induced by xylan, followed by lignocelluloses such as steamed wheat straw and alkali-treated bagasse. The level of enzyme activity produced on other carbon sources appeared to be constitutive. Among the complex organic nitrogen sources tested, the xylanase activity was most enhanced by yeast extract, followed by soymeal, Pharmamedia (cotton seed protein), and Alburex (potato protein). A batch culture at 10 degrees C in a 5-1 fermenter (3.5-1 working volume) using the optimized medium gave 385 nkat at 111 h of cultivation. The crude xylanase showed optimal activity at pH 5.0-5.5 and good stability at pH 4-9 (21 h at 4 degrees C). Although the enzyme was maximally active at 45 degrees-50 degrees C, it appeared very thermolabile, showing a half-life of 78 min at 35 degrees C. At 40 degrees-50 degrees C, it lost 71%-95% activity within 5 min. This is the first report on the production as well as on the properties of thermolabile xylanase produced by an Antarctic yeast.</t>
  </si>
  <si>
    <t>Graz Univ Technol, Inst Biotechnol, A-8010 Graz, Austria</t>
  </si>
  <si>
    <t>Graz University of Technology</t>
  </si>
  <si>
    <t>Graz Univ Technol, Inst Biotechnol, Petersgasse 12, A-8010 Graz, Austria.</t>
  </si>
  <si>
    <t>gomes@biote.tu-graz.ac.at</t>
  </si>
  <si>
    <t>10.1007/s007920070024</t>
  </si>
  <si>
    <t>347ZG</t>
  </si>
  <si>
    <t>WOS:000088958600005</t>
  </si>
  <si>
    <t>Roberts, EC; Laybourn-Parry, J; McKnight, DM; Novarino, G</t>
  </si>
  <si>
    <t>Stratification and dynamics of microbial loop communities in Lake Fryxell, Antarctica</t>
  </si>
  <si>
    <t>FRESHWATER BIOLOGY</t>
  </si>
  <si>
    <t>Antarctica; ciliates; cryptophytes; lakes; protozoa</t>
  </si>
  <si>
    <t>MCMURDO DRY VALLEYS; FRESH-WATER LAKES; ICE-COVERED LAKE; EASTERN ANTARCTICA; VESTFOLD HILLS; CRYPTOMONAS; ABUNDANCE; PLANKTON; BIOMASS; PROTOZOOPLANKTON</t>
  </si>
  <si>
    <t>1. Lake Fryxell, situated in the McMurdo Dry Valleys, Antarctica, offers the opportunity to study microbial loop processes in the absence of crustacean zooplankton and other higher organisms. This is the first study of Lake Fryxell to provide detailed temporal and vertical variations of microbial loop organisms. 2. Protozoan communities are concentrated around the chemocline (9-10 m) in Lake Fryxell. Phototrophic nanoflagellates (PNAN), heterotrophic nanoflagellates (HNAN) and ciliates formed deep maxima of 14580, 694 and 58 cells mL(-1) respectively. Although abundance and biomass at the chemocline was high, diversity of protozoa was low, Plagiacampa accounting for &gt; 80% of the total ciliate biomass. 3. In the mixolimnion (4.5-8 m), protozoa were less abundant, but more diverse, with 24 ciliate morphotypes being identified within this region of the water column. Interannual variability of protozoan biomass and abundance was greater in the mixolimnion than at the chemocline due to more variable nutrient and prey concentrations. 4. Physicochemical gradients in Lake Fryxell were very stable because the perennial ice cover reduced wind driven currents. As a consequence, ciliate species occurred in distinct depth strata, Monodinium being most abundant directly beneath the ice cover, Askenasia having maximum abundance at 8 m and Plagiocampa dominating ciliate biomass at the chemocline. The lack of vertical mixing reduced seasonal successions of PNAN and ciliate species. Three cryptophyte species dominated the PNAN community at all times (&gt; 79% of total biomass).</t>
  </si>
  <si>
    <t>Univ Nottingham, Inst Environm Sci, Loughborough LE12 5RD, Leics, England; British Antarctic Survey, Cambridge CB3 0ET, England; INSTAAR, Boulder, CO 80309 USA; Nat Hist Museum, London SW7 5BD, England</t>
  </si>
  <si>
    <t>University of Nottingham; UK Research &amp; Innovation (UKRI); Natural Environment Research Council (NERC); NERC British Antarctic Survey; Natural History Museum London</t>
  </si>
  <si>
    <t>Dunstaffnage Marine Res Lab, POB 3, Oban PA34 4AD, Argyll, Scotland.</t>
  </si>
  <si>
    <t>oban-10@wpo.nerc.ac.uk</t>
  </si>
  <si>
    <t>0046-5070</t>
  </si>
  <si>
    <t>1365-2427</t>
  </si>
  <si>
    <t>FRESHWATER BIOL</t>
  </si>
  <si>
    <t>Freshw. Biol.</t>
  </si>
  <si>
    <t>10.1046/j.1365-2427.2000.00612.x</t>
  </si>
  <si>
    <t>352AY</t>
  </si>
  <si>
    <t>WOS:000089193400008</t>
  </si>
  <si>
    <t>Treonis, AM; Wall, DH; Virginia, RA</t>
  </si>
  <si>
    <t>The use of anhydrobiosis by soil nematodes in the Antarctic Dry Valleys</t>
  </si>
  <si>
    <t>invertebrates; McMurdo Dry Valleys; soil moisture; survival strategies</t>
  </si>
  <si>
    <t>EVAPORATIVE WATER-LOSS; DESERT SOILS; TAYLOR-VALLEY; SURVIVAL; INVERTEBRATES; DESICCATION; STRATEGIES; EXTRACTION; ECOSYSTEM; INSIGHTS</t>
  </si>
  <si>
    <t>1. Anhydrobiosis is a survival strategy used by soil nematodes that confers protection from environmental stress and is induced by desiccation. 2. To study the use of anhydrobiosis by soil nematodes from the Antarctic Dry Valleys, soil was collected from field sites, and nematodes were extracted using an anhydrobiotic extraction technique. Nematodes were found in a coiled form that characterizes the anhydrobiotic state. 3. The proportion of nematodes coiled ranged from 30 to 80% and appeared to reach a maximum in soils drier than 2% gravimetric soil moisture content. 4. Wetting of dry soils to 12% gravimetric soil moisture content resulted in rapid uncoiling of nearly 100% of nematodes within 6 h. 5. In this cold desert ecosystem, long periods of inactivity appear to be an important aspect of soil nematode life history as their activity may be restricted to the period following infrequent snowfall and melt.</t>
  </si>
  <si>
    <t>Colorado State Univ, Nat Resource Ecol Lab, Ft Collins, CO 80523 USA; Dartmouth Coll, Environm Studies Program, Hanover, NH 03755 USA</t>
  </si>
  <si>
    <t>Colorado State University; Dartmouth College</t>
  </si>
  <si>
    <t>Macaulay Land Use Res Inst, Aberdeen AB15 8QH, Scotland.</t>
  </si>
  <si>
    <t>10.1046/j.1365-2435.2000.00442.x</t>
  </si>
  <si>
    <t>349PL</t>
  </si>
  <si>
    <t>WOS:000089054800007</t>
  </si>
  <si>
    <t>Aoki, S; Ozawa, T; Doi, K; Shibuya, K</t>
  </si>
  <si>
    <t>GPS observation of the sea level variation in Lutzow-Holm Bay, Antarctica</t>
  </si>
  <si>
    <t>GLOBAL POSITIONING SYSTEM; BUOY</t>
  </si>
  <si>
    <t>Differential GPS observations were conducted on the fast ice in Lutzow-Holm Bay, Antarctica. The observations were carried out intermittently from April to December in 1998. The vertical displacement, which is a combination of oceanic tidal variation and high frequency variations of 3-6 minutes period, was clearly detected. Eight hours' comparison of the height variation derived from GPS with that from a video monitoring system showed good agreement with a standard deviation of 2.2 cm. The high frequency fluctuations of about 1 cm were obvious in both observations and had significant correlation with each other. The low-pass filtered variations agreed well with a standard deviation of 1.7 cm. Tidal constituents derived from the GPS observations for the entire period showed good agreement with those from the seven years of pressure gauge observations. Thus, GPS has demonstrated the ability to observe 2 cm accuracy sea level variations.</t>
  </si>
  <si>
    <t>Natl Inst Polar Res, Ctr Antarctic Environm Monitoring, Itabashi Ku, Tokyo 1738515, Japan; Grad Univ Adv Studies, Dept Polit Sci, Tokyo, Japan</t>
  </si>
  <si>
    <t>Research Organization of Information &amp; Systems (ROIS); National Institute of Polar Research (NIPR) - Japan; Graduate University for Advanced Studies - Japan</t>
  </si>
  <si>
    <t>Aoki, S (corresponding author), Natl Inst Polar Res, Ctr Antarctic Environm Monitoring, Itabashi Ku, Tokyo 1738515, Japan.</t>
  </si>
  <si>
    <t>Aoki, Shigeru/D-9105-2012</t>
  </si>
  <si>
    <t>AUG 1</t>
  </si>
  <si>
    <t>10.1029/1999GL011304</t>
  </si>
  <si>
    <t>341JL</t>
  </si>
  <si>
    <t>WOS:000088587200029</t>
  </si>
  <si>
    <t>Kreemer, C; Holt, WE</t>
  </si>
  <si>
    <t>What caused the March 25, 1998 Antarctic plate earthquake ?: Inferences from regional stress and strain rate fields</t>
  </si>
  <si>
    <t>SATELLITE ALTIMETRY; DEFORMATION; MOTIONS</t>
  </si>
  <si>
    <t>We investigate possible driving forces behind the occurrence of the 1998 Antarctic plate earthquake. We determine first a regional strain rate field associated with the accommodation of relative plate motion, and second, a vertically averaged minimum deviatoric stress field associated with lithospheric gravitational potential energy differences and deglaciation of the Antarctic ice cap. We find that the mechanism of this event is inconsistent with strain orientations inferred from kinematic modeling of a diffuse zone of deformation within the triple junction region. Stress perturbations associated with deglaciation cannot be ruled out as a triggering mechanism for this event.</t>
  </si>
  <si>
    <t>SUNY Stony Brook, Dept Geosci, Stony Brook, NY 11794 USA</t>
  </si>
  <si>
    <t>State University of New York (SUNY) System; State University of New York (SUNY) Stony Brook</t>
  </si>
  <si>
    <t>Kreemer, C (corresponding author), SUNY Stony Brook, Dept Geosci, Stony Brook, NY 11794 USA.</t>
  </si>
  <si>
    <t>kreemer@horizon.ess.sunysb.edu; wholt@horizon.ess.sunysb.edu</t>
  </si>
  <si>
    <t>Holt, William/0000-0002-0267-5306</t>
  </si>
  <si>
    <t>10.1029/1999GL011188</t>
  </si>
  <si>
    <t>WOS:000088587200032</t>
  </si>
  <si>
    <t>Toda, S; Stein, RS</t>
  </si>
  <si>
    <t>Did stress triggering cause the large off-fault aftershocks of the 25 March 1998 Mw=8.1 Antarctic plate earthquake?</t>
  </si>
  <si>
    <t>INTRAPLATE SEISMICITY; CALIFORNIA; AGE</t>
  </si>
  <si>
    <t>The 1998 Antarctic plate earthquake produced clusters of aftershocks (M-W less than or equal to 6.4) up to 80 km from the fault rupture and up to 100 km beyond the end of the rupture. Because the mainshock occurred far from the nearest plate boundary and the nearest recorded earthquake, it is unusually isolated from the stress perturbations caused by other earthquakes, making it a good candidate for stress transfer analysis despite the absence of near-field observations. We tested whether the off-fault aftershocks lie in regions brought closer to Coulomb failure by the main rupture. We evaluated four published source models for the main rupture. In fourteen tests using different aftershocks sets and allowing the rupture sources to be shifted within their uncertainties, 6 were significant at greater than or equal to 99% confidence, 3 at &gt; 95% confidence, and 5 were not significant (&lt; 95% level). For the 9 successful tests, the stress at the site of the aftershocks was typically increased by 1-2 bars (0.1-0.2 MPa). Thus the Antarctic plate event, together with the 1992 M-W=7.3 Landers and its M-W=6.5 Big Bear aftershock 40 km from the main fault, supply evidence that small stress changes might indeed trigger large earthquakes far from the main fault rupture.</t>
  </si>
  <si>
    <t>Univ Tokyo, Earthquake Res Inst, Bunkyo Ku, Tokyo 1130032, Japan; US Geol Survey, Menlo Park, CA 94025 USA</t>
  </si>
  <si>
    <t>University of Tokyo; United States Department of the Interior; United States Geological Survey</t>
  </si>
  <si>
    <t>Toda, S (corresponding author), Univ Tokyo, Earthquake Res Inst, Bunkyo Ku, Yayoi 1-1-1, Tokyo 1130032, Japan.</t>
  </si>
  <si>
    <t>10.1029/1999GL011129</t>
  </si>
  <si>
    <t>WOS:000088587200033</t>
  </si>
  <si>
    <t>McGuire, JJ; Zhao, L; Jordan, TH</t>
  </si>
  <si>
    <t>Rupture dimensions of the 1998 Antarctic earthquake from low-frequency waves</t>
  </si>
  <si>
    <t>MARCH 25</t>
  </si>
  <si>
    <t>We inverted frequency dependent phase and amplitude measurements from Ist orbit Rayleigh waves at global stations for the 1st and 2nd degree polynomial moments of the stress-glut rate tensor. The higher moments of the slip-rate distribution determine the fault plane and approximate rupture dimensions. The results show strong rupture propagation to the west with an average velocity of the instantaneous centroid of 3.6+/-.1 km/s. The rupture had a characteristic length of 178+/-46 km in the east-west direction and a characteristic duration of 48+/-2 s. The results are consistent with unilateral rupture on the east-west fault plane of the focal mechanism and rule out significant rupture on the north-south nodal plane.</t>
  </si>
  <si>
    <t>MIT, Dept Earth Atmospher &amp; Planetary Sci, Cambridge, MA 02139 USA</t>
  </si>
  <si>
    <t>Massachusetts Institute of Technology (MIT)</t>
  </si>
  <si>
    <t>MIT, Dept Earth Atmospher &amp; Planetary Sci, 77 Massachusetts Ave, Cambridge, MA 02139 USA.</t>
  </si>
  <si>
    <t>jeff@quake.mit.edu</t>
  </si>
  <si>
    <t>Zhao, Li/I-2640-2013; Jordan, Thomas/W-5579-2019</t>
  </si>
  <si>
    <t>Jordan, Thomas/0000-0001-6511-148X</t>
  </si>
  <si>
    <t>10.1029/1999GL011186</t>
  </si>
  <si>
    <t>WOS:000088587200034</t>
  </si>
  <si>
    <t>Conder, JA; Forsyth, DW</t>
  </si>
  <si>
    <t>Do the 1998 Antarctic plate earthquake and its aftershocks delineate a plate boundary?</t>
  </si>
  <si>
    <t>INDIAN-OCEAN; MOTIONS; CLOSURE; AFRICA</t>
  </si>
  <si>
    <t>Plate motion data along the eastern Southeast Indian Ridge (SEIR) are not fit by a rotation pole consistent with data along the western SEIR. DeMets et al. (1988) looked for, but did not find, evidence of a microplate north of the SEIR to explain the discrepancy. We test the hypothesis that the large (M-W=8.2), strike-slip, 1998 Antarctic earthquake lies on the boundary of a microplate there termed Balleny) south of the SEIR that explains the plate motion discrepancy. A small circle about an Antarctic-Balleny Euler pole, determined by plate closure, fits the east-west band of aftershocks, consistent with a strike-slip boundary. However, the Antarctic-Balleny pole predicts right-lateral slip, while the seismicity exhibits left-lateral, strike-slip motion. The opposite sense of slip not only rules out the Balleny plate hypothesis, but requires deformation elsewhere to accommodate both the plate motion differences along the SEIR and the strain accumulated from the Antarctic event.</t>
  </si>
  <si>
    <t>Brown Univ, Dept Geosci, Providence, RI 02912 USA</t>
  </si>
  <si>
    <t>Brown University</t>
  </si>
  <si>
    <t>Brown Univ, Dept Geosci, Box 1846, Providence, RI 02912 USA.</t>
  </si>
  <si>
    <t>conder@emma.geo.brown.edu</t>
  </si>
  <si>
    <t>Conder, James/AAH-8831-2019; Conder, James/AAO-6404-2021</t>
  </si>
  <si>
    <t>Conder, James/0000-0002-2942-9842;</t>
  </si>
  <si>
    <t>10.1029/1999GL011126</t>
  </si>
  <si>
    <t>WOS:000088587200035</t>
  </si>
  <si>
    <t>Haywood, AM; Valdes, PJ; Sellwood, BW</t>
  </si>
  <si>
    <t>Global scale palaeoclimate reconstruction of the middle Pliocene climate using the UKMO GCM: initial results</t>
  </si>
  <si>
    <t>GLOBAL AND PLANETARY CHANGE</t>
  </si>
  <si>
    <t>general circulation model; middle Pliocene</t>
  </si>
  <si>
    <t>NORTH-ATLANTIC OCEAN; SEA-SURFACE TEMPERATURES; WESTERN EQUATORIAL ATLANTIC; GENERAL-CIRCULATION MODELS; UNITED-STATES; SIRIUS GROUP; DRY-VALLEYS; ICE-SHEET; JOINT INVESTIGATIONS; EXPOSURE AGES</t>
  </si>
  <si>
    <t>This paper outlines the results of a new climate modelling study for the middle Pliocene (ca. 3 Ma). The work was carried out using the UK Meteorological Office GCM (UKMO, Version 3.0) which is a grid point model using a grid of 2.5 degrees in latitude by 3.75 degrees in longitude. The model utilised the new PRISM2 2 degrees x 2 degrees enhanced data set of boundary conditions for the middle Pliocene supplied by the U.S. Geological Survey's Pliocene Interpretations and Synoptic Mapping Group (PRISM). By comparison with the present, the model simulation predicted a 1.9 degrees C annual mean warming over the globe. Warming was at its greatest in high latitudes and resulted in a reduced equator-to-pole temperature gradient of 6 degrees C and a reduction in the general circulation of the atmosphere. Annual mean values for total precipitation (mm/day) increased by 6% with a minor increase in the high cloud component. In low and equatorial regions, temperature decreases by a maximum of 8 degrees C (e.g. over East Africa), whilst precipitation increases, associated with a broadening of the Hadley Cell, promoted greater evaporation and further cooling. Comparison of our results with previous modelling studies, which have examined the character of the middle Pliocene climate, reveal a broad pattern of agreement between the models, but with significant differences observed in detail. These differences are caused by: (a) the greater spatial resolution and different physical parameterisations used in the UKMO GCM compared to other models and (b) variations in the PRISM2 data set compared to the original 8 degrees X 10 degrees, or the PRISM1 2 degrees X 2 degrees data set used in earlier modelling studies. Comparison of the simulated palaeoclimate to available geological data shows a broad accordance. However, disparities do exist when examining the apparent strengthening of upwelling suggested by some geological data, against the simulated reduction in strength of the general circulation of the atmosphere predicted by the UKMO GCM. Furthermore, the well-documented uncertainty of the geological record concerning the extent of the East Antarctic ice sheet during the middle Pliocene makes the overall accuracy of the imposed PRISM? boundary conditions, and hence the predictions of the UKMO GCM, difficult to truly assess. (C) 2000 Elsevier Science B.V. All rights reserved.</t>
  </si>
  <si>
    <t>Univ Reading, Postgrad Res Inst Sedimentol, Reading RG6 2AB, Berks, England; Univ Reading, Dept Meteorol, Reading RG6 6BB, Berks, England</t>
  </si>
  <si>
    <t>University of Reading; University of Reading</t>
  </si>
  <si>
    <t>Univ Reading, Postgrad Res Inst Sedimentol, Whiteknights,POB 227, Reading RG6 2AB, Berks, England.</t>
  </si>
  <si>
    <t>slr98amh@rdg.ac.uk</t>
  </si>
  <si>
    <t>Valdes, Paul J/C-4129-2013; Valdes, Paul/T-2004-2019</t>
  </si>
  <si>
    <t>Valdes, Paul/0000-0002-1902-3283</t>
  </si>
  <si>
    <t>0921-8181</t>
  </si>
  <si>
    <t>1872-6364</t>
  </si>
  <si>
    <t>GLOBAL PLANET CHANGE</t>
  </si>
  <si>
    <t>Glob. Planet. Change</t>
  </si>
  <si>
    <t>10.1016/S0921-8181(00)00028-X</t>
  </si>
  <si>
    <t>341MT</t>
  </si>
  <si>
    <t>WOS:000088594700005</t>
  </si>
  <si>
    <t>Mataloni, G; Tesolín, G; Sacullo, F; Tell, G</t>
  </si>
  <si>
    <t>Factors regulating summer phytoplankton in a highly eutrophic Antarctic lake</t>
  </si>
  <si>
    <t>Antarctica; lakes; phytoplankton; ecology; grazing</t>
  </si>
  <si>
    <t>ECOSYSTEMS; DIVERSITY</t>
  </si>
  <si>
    <t>Lakes from Maritime Antarctica are regarded as systems generally inhabited by metazoan plankton capable of imposing a top-down control on the phytoplankton during short periods, while lakes from Continental Antarctica lacking these communities would be typically controlled by scarcity of nutrients, following a bottom-up model. Otero Lake is a highly eutrophic small lake located on the NW of the Antarctic Peninsula, which has no metazoan plankton. During summer 1996, we studied the density, composition and vertical distribution of the phytoplankton community of this lake with respect to various abiotic variables, yet our results demonstrated neither light nor nutrient limitation of the phytoplankton biomass. Densities of heterotrophic nanoflagellates (HNAN) and ciliates from three different size categories were also studied. Extremely low densities of HNAN (0-155 ind. ml(-1)) could be due to feeding competition by bacterivore nanociliates and/or predation by large ciliates. A summer bloom of the phytoflagellate Chlamydomonas aff. celerrima Pascher reached densities tenfold those of previous years (158.10(3) ind. ml(-1)), though apparently curtailed by a strong peak of large ciliates (107 ind. ml(-1)) which would heavily graze on PNAN (phototrophic nanoflagellates). Top-down control can thus occur in this lake during short periods of long hydrologic residence time.</t>
  </si>
  <si>
    <t>Mataloni, G (corresponding author), Univ Buenos Aires, Fac Ciencias Exactas &amp; Nat, Dept Ciencias Biol, Pab 2-C Univ, RA-1428 Buenos Aires, DF, Argentina.</t>
  </si>
  <si>
    <t>10.1023/A:1004045219437</t>
  </si>
  <si>
    <t>354UM</t>
  </si>
  <si>
    <t>WOS:000089348100007</t>
  </si>
  <si>
    <t>Stanton, TK; Chu, DZ</t>
  </si>
  <si>
    <t>Review and recommendations for the modelling of acoustic scattering by fluid-like elongated zooplankton: euphausiids and copepods</t>
  </si>
  <si>
    <t>ICES JOURNAL OF MARINE SCIENCE</t>
  </si>
  <si>
    <t>acoustics; scattering; zooplankton; biomass</t>
  </si>
  <si>
    <t>SOUND-SCATTERING; ANTARCTIC KRILL; FINITE-LENGTH; TARGET STRENGTH; 120 KHZ; CYLINDERS; ORIENTATION; BACKSCATTERING; SUPERBA; CLASSIFICATION</t>
  </si>
  <si>
    <t>Acoustic echo sounders are commonly used to survey zooplankton. An essential element in the methods is the acoustic scattering model, which relates acoustic echo data to meaningful biological parameters such as size and numerical density. Because of the importance of scattering models, there has been much development of models of increasing sophistication. With the increase in sophistication is an associated improvement in accuracy, but possibly at the cost of increased effort in implementing the model. Thus the practical question is which model provides sufficient accuracy for the scientific problem of interest. This paper presents a modelling study using a wide range of models, ranging from simple to complex representation of the animals, a synthesis of previously published laboratory scattering data from a variety of sources, and laboratory data presented for the first time. The focus is on fluid-like zooplankton (i.e., animals that do not support shear waves) with examples specific to euphausiids, shrimp, and copepods. The simplest model is the sphere with homogeneous material properties while the most complex is a high-resolution digitized form of each zooplankton taking into account surficial roughness and inhomogeneities of the material properties. The results show that there are conditions under which very simple, easy-to-use models can be used with reasonable accuracy while there are other conditions where the more complex models must be used. (C) 2000 International Council for the Exploration of the Sea.</t>
  </si>
  <si>
    <t>Woods Hole Oceanog Inst, Dept Appl Ocean Phys &amp; Engn, Woods Hole, MA 02543 USA</t>
  </si>
  <si>
    <t>Stanton, TK (corresponding author), Woods Hole Oceanog Inst, Dept Appl Ocean Phys &amp; Engn, 98 Water St, Woods Hole, MA 02543 USA.</t>
  </si>
  <si>
    <t>Chu, Dezhang/L-7004-2015</t>
  </si>
  <si>
    <t>1054-3139</t>
  </si>
  <si>
    <t>ICES J MAR SCI</t>
  </si>
  <si>
    <t>ICES J. Mar. Sci.</t>
  </si>
  <si>
    <t>10.1006/jmsc.1999.0517</t>
  </si>
  <si>
    <t>365DU</t>
  </si>
  <si>
    <t>WOS:000089933800001</t>
  </si>
  <si>
    <t>Jackson, GD; Alford, RA; Choat, JH</t>
  </si>
  <si>
    <t>Can length frequency analysis be used to determine squid growth? - An assessment of ELEFAN</t>
  </si>
  <si>
    <t>squid; statoliths; age and growth; length frequency analysis</t>
  </si>
  <si>
    <t>LOLIGO-FORBESI CEPHALOPODA; ILLEX-COINDETII; LIFE-HISTORY; SEXUAL-MATURATION; AGE; LOLIGINIDAE; OPALESCENS; BIOLOGY; WATERS; OMMASTREPHIDAE</t>
  </si>
  <si>
    <t>Current scientific literature presents two viewpoints regarding squid growth. One view suggests that squid have long life spans and asymptotic growth. This viewpoint exists primarily as a direct consequence of researchers fitting asymptotic growth curves to squid length-frequency data. The second view arises from statolith ageing and culture studies, which have produced a divergent description of squid growth, specifically, a rapid non-asymptotic growth pattern that is linear or exponential in form, with short life spans. We revisit this controversy by producing and analysing a computer simulated squid length-frequency distribution. Our computer program produced a series of 30 d length frequencies based on biological parameters of an exponentially growing tropical near-shore loliginid with a sub-annual life span. We then analysed our computer generated data with the ELEFAN software program which produced asymptotic von Bertalanffy growth curves and life spans of up to 35 months for our simulated squid which had a life span of &lt;200 d. This demonstrates at least 2 points; (1) that length frequency analysis is an inadequate means of describing growth for a rapid growing organism with multiple cohorts and (2) ELEFAN is not suitable for application to exponential growing organisms as it assumes a wrong model of asymptotic von Bertalanffy growth. (C) 2000 International Council for the Exploration of the Sea.</t>
  </si>
  <si>
    <t>James Cook Univ N Queensland, Dept Zool, Townsville, Qld 4811, Australia; Univ Tasmania, Inst Antarctic &amp; So Ocean Studies, Hobart, Tas 7001, Australia</t>
  </si>
  <si>
    <t>James Cook University; University of Tasmania</t>
  </si>
  <si>
    <t>James Cook Univ N Queensland, Dept Zool, Townsville, Qld 4811, Australia.</t>
  </si>
  <si>
    <t>Jackson, George D/AAI-7315-2021; Alford, Ross A/H-1577-2011</t>
  </si>
  <si>
    <t>Alford, Ross/0000-0002-3010-6768</t>
  </si>
  <si>
    <t>1095-9289</t>
  </si>
  <si>
    <t>10.1006/jmsc.2000.0582</t>
  </si>
  <si>
    <t>WOS:000089933800016</t>
  </si>
  <si>
    <t>Chu, DZ; Wiebe, P; Copley, N</t>
  </si>
  <si>
    <t>Inference of material properties of zooplankton from acoustic and resistivity measurements</t>
  </si>
  <si>
    <t>zooplankton; material properties; acoustic scattering; resistivity</t>
  </si>
  <si>
    <t>SOUND-SCATTERING; DISPLACEMENT VOLUME; EUPHAUSIA-SUPERBA; ANTARCTIC KRILL; FINITE LENGTH; GEORGES BANK; WET WEIGHT; DRY-WEIGHT; BACKSCATTERING; CYLINDERS</t>
  </si>
  <si>
    <t>A laboratory apparatus has been developed and used to infer the sound speed and density contrasts of live zooplankton. The sound speed contrast is determined from acoustic measurements of travel time (time-of-flight) and from the resistivity measurements of volume fraction. The density can then be inferred by applying the phase-compensated distorted wave born approximation (DWBA) model based on the attenuation measurement. For the decapod shrimp (Palaemonetes vulgaris), the inferred sound speed contrast found by using three different methods, namely the two-phase ray model (time average), the compressibility model (Wood's equation), and the DWBA model (scattering theory), is quite consistent, while the inferred density contrast agrees with the measured density reasonably well. The influence of ambient pressure on the sound speed and density contrasts has also been measured using a pressure vessel. The results indicate that the density contrast remains essentially unchanged under different pressure, but the sound speed contrast increases about 2.0% with pressure changing from 0 dbar to about 350 dbar. Although this 2.0% change in sound speed contrast only causes a moderate change in estimating biomass for a decapod shrimp, it could cause a much larger bias for weaker scatterers with the same amount of change in sound speed contrast (up to 20 dB). The most important advantage of this newly developed material properties measuring system is its potential applicability to the in situ determination of acoustic properties of zooplankton. (C) 2000 International Council for the Exploration of the Sea.</t>
  </si>
  <si>
    <t>Woods Hole Oceanog Inst, Dept Appl Ocean Phys &amp; Engn, Woods Hole, MA 02543 USA; Woods Hole Oceanog Inst, Dept Biol, Woods Hole, MA 02543 USA</t>
  </si>
  <si>
    <t>Woods Hole Oceanographic Institution; Woods Hole Oceanographic Institution</t>
  </si>
  <si>
    <t>Chu, DZ (corresponding author), Woods Hole Oceanog Inst, Dept Appl Ocean Phys &amp; Engn, Woods Hole, MA 02543 USA.</t>
  </si>
  <si>
    <t>Wiebe, Peter/0000-0002-6059-4651</t>
  </si>
  <si>
    <t>10.1006/jmsc.2000.0800</t>
  </si>
  <si>
    <t>WOS:000089933800032</t>
  </si>
  <si>
    <t>Cavalcanti, IFA</t>
  </si>
  <si>
    <t>Teleconnection patterns orographically induced in model results and from observational data in the austral winter of the Southern Hemisphere</t>
  </si>
  <si>
    <t>EOF analyses; low frequency streamfunction; orographic forcing in a baroclinic model; Southern Hemisphere teleconnection patterns</t>
  </si>
  <si>
    <t>ROSSBY-WAVE PROPAGATION; ATMOSPHERIC CIRCULATION; HIGH-LATITUDES; ANOMALIES; BLOCKING; VARIABILITY; OSCILLATION; FREQUENCY; 500-MB; STATISTICS</t>
  </si>
  <si>
    <t>Low frequency disturbances in the Southern Hemisphere are investigated through an observational study and numerical model experiments. The orography of the Andes and Antarctica in the Southern Hemisphere are the forcing of numerical experiments, submitted to zonal climatological austral winter conditions. The large-scale pattern forced by the Andes orography shows a high level wavetrain from the southeast of the mountain to the South Atlantic and two jet streams at high levels. The Antarctic case presents a wavenumber three horizontal structure around the hemisphere and three regions of jet stream. Characteristics of this wavenumber three model results are discussed based on analysis of streamfunction, vorticity and temperature, and related to blocking regions in the Southern Hemisphere. Empirical orthogonal function analysis of the low frequency filtered streamfunction at 250 hPa also shows, for the austral winter season, a wavenumber three structure and a wavetrain over the South Pacific and the South Atlantic, similar to the Pacific South American Pattern (PSA). Parts of the low frequency teleconnection patterns are identified in both the observational data and the model results, supporting the influence of the orography on the Southern Hemisphere atmospheric circulation. Analyses of periods with extreme amplitudes of the eigenvectors also show the influence of tropical convection on the anomalies over South America. Copyright (C) 2000 Royal Meteorological Society.</t>
  </si>
  <si>
    <t>Inst Nacl Pesquisas Espaciais, Ctr Previsao Tempo &amp; Estudos Climat, Cachoeira Paulista, SP, Brazil</t>
  </si>
  <si>
    <t>Instituto Nacional de Pesquisas Espaciais (INPE)</t>
  </si>
  <si>
    <t>Cavalcanti, IFA (corresponding author), Inst Nacl Pesquisas Espaciais, Ctr Previsao Tempo &amp; Estudos Climat, Rod Presidente Dutra,Km 40, Cachoeira Paulista, SP, Brazil.</t>
  </si>
  <si>
    <t>iracema@cptec.inpe.br</t>
  </si>
  <si>
    <t>de albuquerque cavalcanti, iracema fonseca/AAB-1259-2021; Cavalcanti, Iracema/C-5243-2009</t>
  </si>
  <si>
    <t>10.1002/1097-0088(200008)20:10&lt;1191::AID-JOC523&gt;3.3.CO;2-7</t>
  </si>
  <si>
    <t>348UN</t>
  </si>
  <si>
    <t>WOS:000089005000009</t>
  </si>
  <si>
    <t>Richmond, AD; Lu, G</t>
  </si>
  <si>
    <t>Upper-atmospheric effects of magnetic storms: a brief tutorial</t>
  </si>
  <si>
    <t>1999 CEDAR Meeting and CEDAR-GEM-SHINE Session</t>
  </si>
  <si>
    <t>JUN, 1999</t>
  </si>
  <si>
    <t>BOULDER, CO</t>
  </si>
  <si>
    <t>upper-atmospheric effects; magnetic storms; magnetospheric disturbances</t>
  </si>
  <si>
    <t>ANTARCTIC F-REGION; 10 JANUARY 1997; GEOMAGNETIC STORMS; ELECTRIC-FIELDS; CME EVENT; THERMOSPHERIC RESPONSE; EMPIRICAL-MODELS; CLOUD EVENT; IONOSPHERE; DISTURBANCES</t>
  </si>
  <si>
    <t>The physical processes underlying several phenomena of upper-atmospheric storms are described: magnetospherically driven ion convection and Joule heating and their impact on the high-latitude thermosphere and ionosphere; global changes in thermospheric circulation and composition; traveling atmospheric disturbances; and effects of electric-field penetration to middle and low latitudes. Examples from the 1997 January 10-11 storm are used to illustrate some of these features. It is pointed out that not only the magnitude, but also the sign of many storm-time changes at any given location depend sensitively on the temporal and spatial variations of auroral particle precipitation and high-latitude electric fields. In order for simulation models to be able to predict upper-atmospheric storm effects accurately, improved determination of the high-latitude inputs will be required. (C) 2000 Elsevier Science Ltd. All rights reserved.</t>
  </si>
  <si>
    <t>Natl Ctr Atmospher Res, High Altitude Observ, Boulder, CO 80307 USA</t>
  </si>
  <si>
    <t>Richmond, AD (corresponding author), Natl Ctr Atmospher Res, High Altitude Observ, POB 3000, Boulder, CO 80307 USA.</t>
  </si>
  <si>
    <t>richmond@ucar.edu</t>
  </si>
  <si>
    <t>Lu, Gang/A-6669-2011; Richmond, Arthur/V-2118-2017</t>
  </si>
  <si>
    <t>Richmond, Arthur/0000-0002-6708-1023</t>
  </si>
  <si>
    <t>10.1016/S1364-6826(00)00094-8</t>
  </si>
  <si>
    <t>365ZK</t>
  </si>
  <si>
    <t>WOS:000089980200006</t>
  </si>
  <si>
    <t>Dickson, RR; Osborn, TJ; Hurrell, JW; Meincke, J; Blindheim, J; Adlandsvik, B; Vinje, T; Alekseev, G; Maslowski, W</t>
  </si>
  <si>
    <t>The Arctic Ocean response to the North Atlantic oscillation</t>
  </si>
  <si>
    <t>SOUTHERN CANADIAN BASIN; HEAT-FLUX ANOMALIES; SEA-LEVEL PRESSURE; ATMOSPHERIC CIRCULATION; INTERANNUAL VARIABILITY; FRAM STRAIT; STRATOSPHERIC CIRCULATION; SPATIAL PATTERNS; LABRADOR SEA; BARENTS SEA</t>
  </si>
  <si>
    <t>The climatically sensitive zone of the Arctic Ocean lies squarely within the domain of the North Atlantic oscillation (NAO), one of the most robust recurrent modes of atmospheric behavior. However, the specific response of the Arctic to annual and longer-period changes in the NAO is not well understood. Here that response is investigated using a wide range of datasets, but concentrating on the winter season when the forcing is maximal and on the postwar period, which includes the most comprehensive instrumental record. This period also contains the largest recorded low-frequency change in NAO activity-from its most persistent and extreme loa index phase in the 1960s to its most persistent and extreme high index phase in the late 1980s/early 1990s. This long-period shift between contrasting, NAO extrema was accompanied, among other changes, by an intensifying storm track through the Nordic Seas, a radical increase in the atmospheric moisture flux convergence and winter precipitation in this sector, an increase in the amount and temperature of the Atlantic water inflow to the Arctic Ocean via both inflow branches (Barents Sea Throughflow and West Spitsbergen Current), a decrease in the late-winter. extent of sea ice throughout the European subarctic, and (temporarily at least) an increase in the annual volume flux of ice hom the Fram Strait.</t>
  </si>
  <si>
    <t>Ctr Environm Fisheries &amp; Aquaculture Sci, Lowestoft Lab, Lowestoft NR33 OHT, Suffolk, England; Univ E Anglia, Sch Environm Sci, Climat Res Unit, Norwich, Norfolk, England; Natl Ctr Atmospher Res, Boulder, CO 80307 USA; Univ Hamburg, Inst Meereskunde, D-2000 Hamburg, Germany; Inst Marine Res, N-5024 Bergen, Norway; Norwegian Polar Res Inst, Oslo, Norway; Arctic &amp; Antarctic Res Inst, St Petersburg 199226, Russia; USN, Postgrad Sch, Dept Oceanog, Monterey, CA 93943 USA</t>
  </si>
  <si>
    <t>Centre for Environment Fisheries &amp; Aquaculture Science; University of East Anglia; National Center Atmospheric Research (NCAR) - USA; University of Hamburg; Institute of Marine Research - Norway; Norwegian Polar Institute; Arctic &amp; Antarctic Research Institute; United States Department of Defense; United States Navy; Naval Postgraduate School</t>
  </si>
  <si>
    <t>Ctr Environm Fisheries &amp; Aquaculture Sci, Lowestoft Lab, Pakefield Rd, Lowestoft NR33 OHT, Suffolk, England.</t>
  </si>
  <si>
    <t>r.r.dickson@cefas.co.uk</t>
  </si>
  <si>
    <t>Kushnir, Yochanan/B-4472-2013; Ådlandsvik, Bjørn/AAD-6421-2019; Hurrell, James Wilson/JVN-0949-2024; Osborn, Timothy/AAK-9279-2020</t>
  </si>
  <si>
    <t>Hurrell, James Wilson/0000-0002-3169-6384; Osborn, Timothy/0000-0001-8425-6799</t>
  </si>
  <si>
    <t>10.1175/1520-0442(2000)013&lt;2671:TAORTT&gt;2.0.CO;2</t>
  </si>
  <si>
    <t>345JB</t>
  </si>
  <si>
    <t>WOS:000088811900002</t>
  </si>
  <si>
    <t>Hofmann, GE; Buckley, BA; Airaksinen, S; Keen, JE; Somero, GN</t>
  </si>
  <si>
    <t>Heat-shock protein expression is absent in the Antarctic fish Trematomus bernacchii (family Nototheniidae)</t>
  </si>
  <si>
    <t>heat-shock protein; Antarctic fish; teleost; Trematomus bernacchii; hepatocyte</t>
  </si>
  <si>
    <t>TROUT ONCORHYNCHUS-MYKISS; MOLECULAR CHAPERONES; TRANSCRIPTION FACTOR; MYTILUS-TROSSULUS; STRESS-RESPONSE; IN-VIVO; HSP70; CELLS; THERMOTOLERANCE; HSP90</t>
  </si>
  <si>
    <t>The heat-shock response, the enhanced expression of one or more classes of molecular chaperones termed heat-shock proteins (hsps) in response to stress induced by high temperatures, is commonly viewed as a 'universal' characteristic of organisms. We examined the occurrence of the heat-shock response in a highly cold-adapted, stenothermal Antarctic teleost fish, Trematomus bernacchii, to determine whether this response has persisted in a lineage that has encountered very low and stable temperatures for at least the past 14-25 million years, The patterns of protein synthesis observed in in vivo metabolic labelling experiments that involved injection of S-35-labelled methionine and cysteine into whole fish previously subjected to a heat stress of 10 degrees C yielded no evidence for synthesis of any size class of heat-shock protein. Parallel in vivo labelling experiments with isolated hepatocytes similarly showed significant amounts of protein synthesis, but no indication of enhanced expression of any class of hsp, The heavy metal cadmium, which is known to induce synthesis of hsps, also failed to alter the pattern of proteins synthesized in hepatocytes, Although stress-induced chaperones could not be detected under any of the experimental condition used, solid-phase antibody (western) analysis revealed that a constitutively expressed 70 kDa chaperone was present in this species, as predicted on the basis of requirements for chaperoning during protein synthesis. Amounts of the constitutively expressed 70 kDa chaperone increased in brain, but not in gill, during 22 days of acclimation to 5 degrees C, The apparent absence of a heat-shock response in this highly stenothermal species is interpreted as an indication that a physiological capacity observed in almost all other organisms has been lost as a result of the absence of positive selection during evolution at stable sub-zero temperatures. Whether the loss of the heat-shock response is due to dysfunctional genes for inducible hsps (loss of open reading frames or functional regulatory regions), unstable messenger RNAs, the absence of a functional heat-shock factor or some other lesion remains to be determined.</t>
  </si>
  <si>
    <t>Arizona State Univ, Dept Biol, Tempe, AZ 85287 USA; Stanford Univ, Hopkins Marine Stn, Pacific Grove, CA 93950 USA; Turku Univ, Dept Biol, FIN-20014 Turku, Finland</t>
  </si>
  <si>
    <t>Arizona State University; Arizona State University-Tempe; Stanford University; University of Turku</t>
  </si>
  <si>
    <t>Hofmann, GE (corresponding author), Arizona State Univ, Dept Biol, Tempe, AZ 85287 USA.</t>
  </si>
  <si>
    <t>Somero, George/AAC-3321-2019</t>
  </si>
  <si>
    <t>Somero, George/0000-0003-1431-6455</t>
  </si>
  <si>
    <t>345RW</t>
  </si>
  <si>
    <t>WOS:000088829800008</t>
  </si>
  <si>
    <t>Luttinen, AV; Furnes, H</t>
  </si>
  <si>
    <t>Flood basalts of Vestfjella: Jurassic magnetism across an Archaean-Proterozoic lithospheric boundary in Dronning Maud Land, Antarctica</t>
  </si>
  <si>
    <t>JOURNAL OF PETROLOGY</t>
  </si>
  <si>
    <t>Karoo magmatism; Vestfjella (Dronning Maud Land, Antarctica); Sr and Nd isotopes; magmatic differentiation; depleted and enriched mantle sources</t>
  </si>
  <si>
    <t>KAROO IGNEOUS PROVINCE; RE-OS ISOTOPE; TRACE-ELEMENT; FRACTIONAL CRYSTALLIZATION; CONTINENTAL-CRUST; MARID XENOLITHS; SUBCONTINENTAL MANTLE; TECTONIC IMPLICATIONS; PERIDOTITE XENOLITHS; FACIES METAMORPHISM</t>
  </si>
  <si>
    <t>Continental flood basalts (CFBs) of Jurassic age make up the Vestfjella mountains of western Dronning Maud Land and demonstrate an Antarctic extension of the Karoo large igneous province. A detailed geochemical study of the 120-km-long Vestfjella range shows the CFB suite to consist mainly of three intercalated basaltic rock types designated CT1, CT2, and CT3 (chemical types 1, 2 and 3) that exhibit different incompatible trace element ratios. CT1 and CT2 of north Vestfjella record wide ranges of Nd and Sr isotopic compositions with initial epsilon(Nd) and epsilon(Sr) ranging from +7.6 to -16.0 and -16 to +65, respectively. The southern Vestfjella is dominated by CT3 with near-chondritic epsilon(Nd) (+2.0 to -4.1) and epsilon(Sr) (-11 to +19). A volumetrically minor suite of ocean island basalt (OIB-)like CT4 dykes (epsilon(Nd) +3.6, epsilon(Sr) + 1) cuts the lava sequence in north Vestfjella. The pronounced isotopic differences suggest different magmatic plumbing systems for the heterogeneous CT1 and CT2 suites and the relatively homogeneous CT3 lavas. This is further supported by the palaeoflow directions, which point to major source regions to the north (CT1 and CT2) and east (CT3) of Vestfjella. These source regions can be associated with two contemporaneous major lithospheric thinning zones that permitted magma emplacement and controlled the melting of upper-mantle sources in the Jurassic Dronning Maud Land. The CT1 and CT2 magmas utilized the northern zone of thinning and were emplaced into the 3 Ga Grunehogna craton, whereas the CT3 magmas were emplaced through thinned Proterozoic Maud Belt lithosphere. Trace element and isotopic studies of the identified magma types reveal a complex history of fractionation and contamination at different lithospheric levels. All extrusive rock types show evidence of crustal contamination but this had rather small impact on their diagnostic trace element ratios. Much stronger overprint, in the CT1 and CT2 suites, resulted from contamination with veined Archaean lithospheric mantle, which produced wide ranges of isotopic and highly incompatible element ratios. CT3, in turn, does not show evidence of interaction with the Proterozoic lithospheric mantle. The high-epsilon(Nd) endmembers of CT1, CT2 and CT3 probably closely resemble uncontaminated mantle-derived magmas and indicate three different mantle sources. The CT2 primary magmas were derived from light rare earth element (LREE)-depleted, slightly large ion lithophile element (LILE)-enriched sources, whereas data on the volumetrically preponderant CT1 and CT3 point to variably LREE-enriched, strongly LILE-enriched sources. The sources of CT1, CT2 and CT3 may record large-scale lateral heterogeneity generated by subduction-contamination of the Gondwanan upper mantle. The OIB-like CT4 dykes probably reflect asthenospheric heterogeneities that were unrelated to the proposed subduction-contamination.</t>
  </si>
  <si>
    <t>Univ Helsinki, Dept Geol, FIN-00014 Helsinki, Finland; Univ Bergen, Inst Geol, N-5007 Bergen, Norway</t>
  </si>
  <si>
    <t>University of Helsinki; University of Bergen</t>
  </si>
  <si>
    <t>Luttinen, AV (corresponding author), Univ Helsinki, Dept Geol, POB 11, FIN-00014 Helsinki, Finland.</t>
  </si>
  <si>
    <t>arto.luttinen@helsinki.fi</t>
  </si>
  <si>
    <t>Luttinen, Arto Vesa/0000-0002-3129-0392</t>
  </si>
  <si>
    <t>0022-3530</t>
  </si>
  <si>
    <t>J PETROL</t>
  </si>
  <si>
    <t>J. Petrol.</t>
  </si>
  <si>
    <t>10.1093/petrology/41.8.1271</t>
  </si>
  <si>
    <t>343EF</t>
  </si>
  <si>
    <t>WOS:000088688200003</t>
  </si>
  <si>
    <t>Danyushevsky, LV; Eggins, SM; Falloon, TJ; Christie, DM</t>
  </si>
  <si>
    <t>H2O abundance in depleted to moderately enriched mid-ocean ridge magmas;: Part I:: Incompatible behaviour, implications for mantle storage, and origin of regional variations</t>
  </si>
  <si>
    <t>glass; geochemistry; H2O; MORB; petrology</t>
  </si>
  <si>
    <t>EAST PACIFIC RISE; AUSTRALIAN-ANTARCTIC DISCORDANCE; CARBON-DIOXIDE SOLUBILITIES; SOLIDUS PERIDOTITE MELTS; MARBLE-CAKE MANTLE; PARTITION-COEFFICIENTS; BASALTIC GLASSES; LAMONT SEAMOUNT; MIDOCEAN RIDGES; ION MICROPROBE</t>
  </si>
  <si>
    <t>The H2O contents and trace-element abundances are presented for two well-studied suites of mid-ocean ridge basalt (MORB) glasses from the Northern East Pacific Rise (EPR, 9-11 degrees N) and the South East Indian Ridge (SEIR, 127-129 degrees E). Exactly the same region of the glass samples has been analysed for these components using microbeam techniques. Our data allow examination of the fine details of H2O geochemical behaviour during MORB genesis. We demonstrate that relative H2O contents [i.e. H2O/(another incompatible element)] vary systematically with increasing (La/Sm)(N) in Morb glasses from both the EPR and SEIR. This indicates that H2O behaves like other incompatible (in peridotite mineralogies) elements during MORB petrogenesis, and is primarily controlled by solid-melt partitioning. However, the relative H2O contents of MORB glasses from the SEIR are higher than in glasses from the EPR at a given (La/SM)(N), demonstrating global variations in the H2O contents of MORB. Despite regional differences in relative H2O contents, the incompatible behaviour of H2O is similar in both studied regions. The relative incompatibility of H2O varies systematically with increasing (La/Sm)(N): in depleted MORB, H2O is similar to La whereas in EMORB, H2O is similar to Ce. Similar patterns of varying relative incompatibility (to REE) are displayed by Zr, Hf, and P. Our data are best explained if H2O is stored in the mantle in the same phase with LREE (clinopyroxene?) at sub-solidus. Regional variations in relative H2O contents in EMORB that have more radiogenic Sr, Nd and Pb isotopes might be explained by differences in the nature of enriched components recycled via subduction processes. However, when EMORB have the same radiogenic isotope compositions as NMORB within a segment, relative H2O contents in EMORB probably reflect local processes that lead to enrichment in incompatible elements. Regional differences in relative H2O contents of NMORB may reflect either initial variations in the Earth's mantle or inhomogeneities left after formation of the continental crust.</t>
  </si>
  <si>
    <t>Univ Tasmania, Sch Earth Sci, Hobart, Tas 7001, Australia; Australian Natl Univ, Res Sch Earth Sci, Canberra, ACT 2601, Australia; Australian Natl Univ, ARC Key Ctr Geochem Evolut &amp; Metallogeny Continen, Dept Geol, Canberra, ACT 2601, Australia; Oregon State Univ, Coll Ocean &amp; Atmospher Sci, Corvallis, OR 97331 USA</t>
  </si>
  <si>
    <t>University of Tasmania; Australian National University; Australian National University; Oregon State University</t>
  </si>
  <si>
    <t>Danyushevsky, LV (corresponding author), Univ Tasmania, Sch Earth Sci, GPO Box 252-79, Hobart, Tas 7001, Australia.</t>
  </si>
  <si>
    <t>Falloon, Trevor John/J-2381-2019; Eggins, Stephen M/H-6943-2016; Danyushevsky, Leonid/C-5346-2013</t>
  </si>
  <si>
    <t>Danyushevsky, Leonid/0000-0003-4050-6850; Falloon, Trevor/0000-0001-6528-9739; Eggins, Stephen/0000-0002-0007-5753</t>
  </si>
  <si>
    <t>10.1093/petrology/41.8.1329</t>
  </si>
  <si>
    <t>WOS:000088688200005</t>
  </si>
  <si>
    <t>Gnanadesikan, A; Hallberg, RW</t>
  </si>
  <si>
    <t>On the relationship of the Circumpolar Current to Southern Hemisphere winds in coarse-resolution ocean models</t>
  </si>
  <si>
    <t>GENERAL-CIRCULATION MODEL; LINEAR HOMOGENEOUS MODEL; MOMENTUM BALANCE; DRAKE PASSAGE; OBSCURANTIST PHYSICS; NUMERICAL-MODEL; FORM DRAG; WORLD OCEAN; TRANSPORT; CHANNEL</t>
  </si>
  <si>
    <t>The response of the Circumpolar Current to changing winds has been the subject of much debate. To date most theories of the current have tried to predict the transport using various forms of momentum balance. This paper argues that it is also important to consider thermodynamic as well as dynamic balances. Within large-scale general circulation models, increasing eastward winds within the Southern Ocean drive a northward Ekman Bur of light water, which in turn produces a deeper pycnocline and warmer deep water to the north of the Southern Ocean. This in turn results in much larger thermal wind shear across the Circumpolar Current. which, given relatively small near-bottom velocities, results in an increase in Antarctic Circumpolar Current (ACC) transport. The Ekman flux near the surface is closed by a deep return flow below the depths of the ridges. A simple model that illustrates this picture is presented in which the ACC depends most strongly on the winds at the northern and southern edges of the channel. The sensitivity of this result to the formulation of buoyancy forcing is illustrated using a second simple model. A number of global general circulation model runs are then presented with different wind stress patterns in the Southern Ocean. Within these runs, neither the mean wind stress in the latitudes of Drake Passage nor the wind stress curl at the northern edge of Drake Passage produces a prediction for the transport of the ACC. However, increasing the wind stress within the Southern Ocean does increase the ACC transport.</t>
  </si>
  <si>
    <t>NOAA, GFDL, Princeton, NJ 08544 USA; Princeton Univ, Atmospher &amp; Ocean Sci Program, Princeton, NJ 08544 USA</t>
  </si>
  <si>
    <t>National Oceanic Atmospheric Admin (NOAA) - USA; National Oceanic Atmospheric Admin (NOAA) - USA; Princeton University</t>
  </si>
  <si>
    <t>NOAA, GFDL, 302 Sayre Hall,POB CN710, Princeton, NJ 08544 USA.</t>
  </si>
  <si>
    <t>gnana@princeton.edu</t>
  </si>
  <si>
    <t>10.1175/1520-0485(2000)030&lt;2013:OTROTC&gt;2.0.CO;2</t>
  </si>
  <si>
    <t>347DG</t>
  </si>
  <si>
    <t>WOS:000088911700013</t>
  </si>
  <si>
    <t>Trevena, AJ; Jones, GB; Wright, SW; van den Enden, RL</t>
  </si>
  <si>
    <t>Profiles of DMSP, algal pigments, nutrients and salinity in pack ice from eastern Antarctica</t>
  </si>
  <si>
    <t>JOURNAL OF SEA RESEARCH</t>
  </si>
  <si>
    <t>2nd International Symposium on Biological and Environmental Chemistry of DMS(P)/Meeting on the Role of Phaeocystis in Marine Biogeochemical Cycles and Fluxes</t>
  </si>
  <si>
    <t>AUG, 1999</t>
  </si>
  <si>
    <t>UNIV GRONINGEN, GRONINGEN, NETHERLANDS</t>
  </si>
  <si>
    <t>UNIV GRONINGEN</t>
  </si>
  <si>
    <t>dimethylsulphoniopropionate; ice algae; chlorophyll-a; carotenoids; nutrients</t>
  </si>
  <si>
    <t>SEA-ICE; DIMETHYL SULFIDE; SOUTHERN-OCEAN; DIMETHYLSULPHONIOPROPIONATE; DIMETHYLSULFONIOPROPIONATE; PHYTOPLANKTON; WATERS; COMMUNITY; CHEMTAX; PROGRAM</t>
  </si>
  <si>
    <t>Concentrations of dimethylsulphoniopropionate (DMSP) were measured in seven pack ice cores from three sites in eastern Antarctica to determine their relation to algal pigments, nutrients (nitrate, silicate and phosphate) and bulk salinity. The algal groups haptophytes, dinoflagellates and diatoms were identified in surface, interior and bottom assemblages in the pack ice cores using the photosynthetic marker pigments 19'-hexanoyloxyfucoxanthin (HEX), peridinin (PER) and fucoxanthin (FUC), respectively. DMSP concentrations were significantly correlated (P &lt; 0.01, Pearson) with chlorophyll-a (r = 0.58), HEX (r = 0.75), PER (r = 0.79) and FUC (r = 0.63) concentrations. The pool of DMSP within the pack ice (mean 107 nM) was contributed mainly by interior and bottom algal assemblages (mean 94 and 268 nM, respectively), whilst the surface algal assemblages were minor contributors (mean 18 nM). DMSP production and/or accumulation appears to differ between surface, interior and bottom pack ice algal assemblages due to differences in biomass, class composition, and possibly the unique environmental conditions experienced by each assemblage. In pack ice, diatoms appear to be important producers of DMSP, due to their dominance of algal assemblages. (C) 2000 Elsevier Science B.V. All rights reserved.</t>
  </si>
  <si>
    <t>James Cook Univ N Queensland, Marine Chem Grp, Dept Chem, Townsville, Qld 4811, Australia; Australian Antarctic Div, Kingston, Tas 7050, Australia</t>
  </si>
  <si>
    <t>James Cook University; Australian Antarctic Division</t>
  </si>
  <si>
    <t>Jones, GB (corresponding author), James Cook Univ N Queensland, Marine Chem Grp, Dept Chem, Townsville, Qld 4811, Australia.</t>
  </si>
  <si>
    <t>1385-1101</t>
  </si>
  <si>
    <t>J SEA RES</t>
  </si>
  <si>
    <t>J. Sea Res.</t>
  </si>
  <si>
    <t>10.1016/S1385-1101(00)00012-5</t>
  </si>
  <si>
    <t>358JU</t>
  </si>
  <si>
    <t>WOS:000089555600010</t>
  </si>
  <si>
    <t>Irvine, LG; Hindell, MA; van den Hoff, J; Burton, HR</t>
  </si>
  <si>
    <t>The influence of body size on dive duration of underyearling southern elephant seals (Mirounga leonina)</t>
  </si>
  <si>
    <t>body size; dive duration; southern elephant seal; Mirounga leonina</t>
  </si>
  <si>
    <t>MACQUARIE ISLAND; DIVING BEHAVIOR; WEDDELL SEALS; INVESTMENT; LIMIT; PREY; PUPS</t>
  </si>
  <si>
    <t>The dive duration of 16 underyearling (6-12 months old) southern elephant seals Mirounga leonina during their second trip to sea was investigated using geolocating time-depth recorders. Underyearling seals had a lesser diving ability, with respect to duration and depth, than adult southern elephant sea:is. Individual underyearlings dived for average durations of up to 20.3 min and depths up to 416 m compared to durations and depths of 36.9 min and 589 m, respectively for adults. Dive duration was positively related to their body mass at departure, indicating that smaller seals were limited to shorter dive durations, perhaps as a result of their lesser aerobic capacity. All seals often exceeded their theoretical aerobic dive limit (average of 22.1 +/- 18.1%). The number of dives exceeding the theoretical aerobic dive limit was not related to mass, suggesting that factors other than mass, such as foraging location or prey availability, may have been responsible for differences in diving effort. Foraging ability, indicated by the ability of the seals to follow vertically moving prey, was positively related to seal mass, indicating that small mass restricted foraging ability. The shorter dive durations of the smaller seals inferred that they had shallower dive depths in which to search for prey, thus restricting foraging ability. Although foraging ability was restricted by size, foraging success was found to be inversely related to mass, the smaller seals gaining a higher proportion of blubber than larger seals during their foraging trips. Thus, despite smaller seals being restricted to shallower depths and shorter durations, their foraging success was not affected.</t>
  </si>
  <si>
    <t>Australian Antarctic Div, Kingston, Tas 7050, Australia; Univ Tasmania, Inst Antarctic &amp; So Ocean Studies, Hobart, Tas 7001, Australia; Univ Tasmania, Dept Zool, Hobart, Tas 7001, Australia</t>
  </si>
  <si>
    <t>Australian Antarctic Division; University of Tasmania; University of Tasmania</t>
  </si>
  <si>
    <t>Irvine, LG (corresponding author), Australian Antarctic Div, Channel Highway, Kingston, Tas 7050, Australia.</t>
  </si>
  <si>
    <t>Hindell, Mark A/C-8368-2013; Hindell, Mark A/K-1131-2013; Irvine, Lyn/KHD-4206-2024</t>
  </si>
  <si>
    <t>Hindell, Mark/0000-0002-7823-7185</t>
  </si>
  <si>
    <t>10.1111/j.1469-7998.2000.tb00802.x</t>
  </si>
  <si>
    <t>357NA</t>
  </si>
  <si>
    <t>WOS:000089506700006</t>
  </si>
  <si>
    <t>Roald Amundsen's Belgica diary: The first scientific expedition to the Antarctic</t>
  </si>
  <si>
    <t>MARINERS MIRROR</t>
  </si>
  <si>
    <t>SOC NAUTICAL RESEARCH</t>
  </si>
  <si>
    <t>NATIONAL MARITIME MUSEUM GREENWICH, LONDON, ENGLAND SE10 9NF</t>
  </si>
  <si>
    <t>0025-3359</t>
  </si>
  <si>
    <t>Mar. Mirror</t>
  </si>
  <si>
    <t>343FP</t>
  </si>
  <si>
    <t>WOS:000088691300049</t>
  </si>
  <si>
    <t>Delille, D</t>
  </si>
  <si>
    <t>Response of antarctic soil bacterial assemblages to contamination by diesel fuel and crude oil</t>
  </si>
  <si>
    <t>PETROLEUM-HYDROCARBONS; CONTINENTAL ANTARCTICA; MICROBIAL-DEGRADATION; SPATIAL-DISTRIBUTION; MARINE; BIODEGRADATION; MICROORGANISMS; SEAWATER; BIOREMEDIATION; ORGANISMS</t>
  </si>
  <si>
    <t>The effects of diesel fuel and Arabian light crude oil addition on Antarctic bacterial assemblages were studied in four contaminated soils during 1 year in the Terre Adelie land area. Monthly sampling allowed a regular survey of the bacterial changes occurring in the contaminated soils. hll samples were analyzed for total bacteria, heterotrophic culturable microbiota, and hydrocarbon-utilizing microbiota. Crude oil contamination induced an initial increase of all bacterial parameters in all contaminated soils. Diesel oil contamination had a more complex effect. Hydrocarbon degrading bacterial abundance increases occurred after diesel oil addition. In contrast, general heterotrophic bacterial abundance could significantly decrease in the same conditions. In all cases the stimulatory effects of oil addition disappeared after several months of contamination.</t>
  </si>
  <si>
    <t>Univ Paris 06, Lab Arago, CNRS,UMR 7621, UMR 7621,Observ Oceanol Banyuls, F-66650 Banyuls sur Mer, France</t>
  </si>
  <si>
    <t>Univ Paris 06, Lab Arago, CNRS,UMR 7621, UMR 7621,Observ Oceanol Banyuls, F-66650 Banyuls sur Mer, France.</t>
  </si>
  <si>
    <t>364UZ</t>
  </si>
  <si>
    <t>WOS:000089912500009</t>
  </si>
  <si>
    <t>González-Solís, J; Croxall, JP; Wood, AG</t>
  </si>
  <si>
    <t>Sexual dimorphism and sexual segregation in foraging strategies of northern giant petrels, Macronectes halli, during incubation</t>
  </si>
  <si>
    <t>OIKOS</t>
  </si>
  <si>
    <t>SIZE DIMORPHISM; POPULATION-DYNAMICS; DIOMEDEA-EXULANS; PELAGIC SEABIRD; BODY CONDITION; EVOLUTION; TRIPS; FOOD; ALBATROSSES; GIGANTEUS</t>
  </si>
  <si>
    <t>Giant petrels (Macronectes spp) are the most sexually dimorphic of all seabirds. We used satellite-tracking and mass change during incubation to investigate the influence of sexual size dimorphism, in terms of the intersexual food competition hypothesis, on foraging and fasting strategies of northern giant petrels at South Georgia. Females foraged at sea whereas males foraged mainly on the South Georgia coast, scavenging on seal and penguin carcasses. Foraging effort (flight speed, distance covered, duration of foraging trips) was greater for females than for males. In contrast, foraging efficiency (proportionate daily mass gain while foraging) was significantly greater for males than for females. Females were significantly closer to the desertion mass threshold than males and could not compensate for the mass loss during the incubation fast while foraging, suggesting greater incubation costs for females than for males. Both sexes regulated the duration and food intake of foraging trips depending on the depletion of the body reserves. In males the total mass gain was best explained by mass at departure and body size. We suggest that sexual segregation of foraging strategies arose from size-related dominance at carcasses; promoting sexual size dimorphism. Our results indicate that sex-specific differences in Fasting endurance, contest competition over food and Hight metabolic rates are key elements in maintenance of sexual size dimorphism, segregating foraging strategies and presumably reducing competition between sexes.</t>
  </si>
  <si>
    <t>Univ Barcelona, Dept Biol Anim Vertebrats, Av Diagonal 645, E-08028 Barcelona, Spain.</t>
  </si>
  <si>
    <t>jacob@porthos.bio.ub.es</t>
  </si>
  <si>
    <t>Gonzalez-Solis, Jacob/C-3942-2008; González-Solís, Jacob/AAB-1161-2019</t>
  </si>
  <si>
    <t>Gonzalez-Solis, Jacob/0000-0002-8691-9397;</t>
  </si>
  <si>
    <t>0030-1299</t>
  </si>
  <si>
    <t>1600-0706</t>
  </si>
  <si>
    <t>Oikos</t>
  </si>
  <si>
    <t>10.1034/j.1600-0706.2000.900220.x</t>
  </si>
  <si>
    <t>349EX</t>
  </si>
  <si>
    <t>WOS:000089031600020</t>
  </si>
  <si>
    <t>Kim, SJ; Crowley, TJ</t>
  </si>
  <si>
    <t>Increased Pliocene North Atlantic Deep Water: Cause or consequence of Pliocene warming?</t>
  </si>
  <si>
    <t>SEA-ICE; THERMOHALINE CIRCULATION; OCEAN CIRCULATION; CLIMATE MODEL; GREENHOUSE; BALANCE; CO2</t>
  </si>
  <si>
    <t>Raymo et al. [1996] suggested that the mid-Pliocene (similar to 3 Ma) warm period was associated with increased North Atlantic Deep Water (NADW) production. Is this circulation change a cause or consequence of Pliocene warming? We test the hypothesis that increased strength of NADW was a consequence of the warming around Antarctica affecting deep Antarctic outflow. A sensitivity experiment with an ocean general circulation model with Pliocene surface conditions changed only over the Southern Ocean (SO) indicates that warmer temperatures around Antarctica result in lower rates of sea ice formation and SO deep water outflow. The decreased abyssal density gradient in the SO directly leads to about a 20% increase in NADW outflow at 30 degrees S, a 10% increase in NADW overturning in the subpolar North Atlantic, and a 20% increase in poleward heat transport in the North Atlantic. We postulate that the largest initial Pliocene climate change was in the SO because the greater sea ice area in this region is more sensitive to inferred slightly higher CO2 levels in the mid-Pliocene.</t>
  </si>
  <si>
    <t>Texas A&amp;M Univ, Dept Oceanog, College Stn, TX 77843 USA</t>
  </si>
  <si>
    <t>Texas A&amp;M University System; Texas A&amp;M University College Station</t>
  </si>
  <si>
    <t>Kim, SJ (corresponding author), Univ Victoria, Canadian Ctr Climate Modelling &amp; Anal, Meteorol Serv Canada, POB 1700 STN CSC, Victoria, BC V8W 2Y2, Canada.</t>
  </si>
  <si>
    <t>10.1029/1999PA000459</t>
  </si>
  <si>
    <t>336BC</t>
  </si>
  <si>
    <t>WOS:000088281200008</t>
  </si>
  <si>
    <t>Halzen, F</t>
  </si>
  <si>
    <t>High-energy neutrino astronomy</t>
  </si>
  <si>
    <t>PHYSICS REPORTS-REVIEW SECTION OF PHYSICS LETTERS</t>
  </si>
  <si>
    <t>GAMMA-RAY BURSTS; ACTIVE GALACTIC NUCLEI; ASTROPHYSICAL SOURCES; COSMIC-RAYS; OSCILLATIONS; FLUXES</t>
  </si>
  <si>
    <t>With the completion of the first-generation Lake Baikal and AMANDA detectors 1998 represents a milestone in neutrino astronomy. Neutrino signals from the Lake Baikal detector bode well for the flurry of R&amp;D activities leading to the deployment of similar instruments in the Mediterranean. The AMANDA telescope announced first light, neutrinos actually, and produced results that validate plans for commissioning a kilometer-scale detector in Antarctic ice. Although high-energy neutrino astronomy is a multidisciplinary science, gamma-ray bursts have, with supermassive black holes, become the theoretical focus since recent astronomical observations revealed their potential as cosmic particle accelerators. This spotlight is shared with investigations of the potential of high-energy telescopes to observe oscillating neutrinos. The Superkamiokande results have boosted atmospheric neutrinos from a calibration tool and a background for doing astronomy, to an opportunity to confirm the evidence for neutrino mass. (C) 2000 Elsevier Science B.V. All rights reserved.</t>
  </si>
  <si>
    <t>Univ Wisconsin, Dept Phys, 1150 Univ Ave, Madison, WI 53706 USA.</t>
  </si>
  <si>
    <t>halzen@pheno.physics.wisc.edu</t>
  </si>
  <si>
    <t>0370-1573</t>
  </si>
  <si>
    <t>1873-6270</t>
  </si>
  <si>
    <t>PHYS REP</t>
  </si>
  <si>
    <t>Phys. Rep.-Rev. Sec. Phys. Lett.</t>
  </si>
  <si>
    <t>1-6</t>
  </si>
  <si>
    <t>10.1016/S0370-1573(00)00029-6</t>
  </si>
  <si>
    <t>Physics, Multidisciplinary</t>
  </si>
  <si>
    <t>336AW</t>
  </si>
  <si>
    <t>WOS:000088280600021</t>
  </si>
  <si>
    <t>Ehrlén, J; Bisang, I; Hedenäs, L</t>
  </si>
  <si>
    <t>Costs of sporophyte production in the moss, Dicranum polysetum</t>
  </si>
  <si>
    <t>PLANT ECOLOGY</t>
  </si>
  <si>
    <t>bryophyte reproduction; cost of reproduction; gametophyte growth; reproductive effort; resource allocation; sporophyte abortion; sporophyte removal</t>
  </si>
  <si>
    <t>REPRODUCTIVE EFFORT; HYLOCOMIUM-SPLENDENS; POPULATION BIOLOGY; ANTARCTIC MOSSES; FRUIT PRODUCTION; SEED PRODUCTION; SIZE; DEMOGRAPHY; ALLOCATION; BRYOPHYTE</t>
  </si>
  <si>
    <t>We investigated the cost of sporophyte production in the moss Dicranum polysetum both by examining patterns of growth and reproduction in unmanipulated shoots and by experimentally manipulating sexual reproduction. The estimated proportion of total carbon investment allocated to sexual reproduction in sporophyte-producing shoots over the study period was 74.8%. Unmanipulated shoots that aborted all sporophytes had a significantly higher growth in the top shoots than shoots that produced sporophytes. In sporophyte-producing shoots, total apical growth decreased proportionately with the number of sporophytes. Experimental prevention of sporophyte development resulted in significantly higher total apical growth of the gametophytes. Shoots where current perichaetia were lacking when marked had a mass increase in the top shoots similar to manipulated sporophytic shoots whereas sporophytic control shoots grew significantly less than these two categories. The difference between control shoots and manipulated shoots in the mass of vegetative apical growth was mainly because of different length increments whereas mass per unit length was similar between groups. The probability to reproduce sexually in the year after the manipulation, and the biomass allocated to this reproduction, were not affected by the experimental treatment.</t>
  </si>
  <si>
    <t>Univ Stockholm, Dept Bot, S-10691 Stockholm, Sweden; Swedish Museum Nat Hist, Dept Cryptogam Bot, S-10405 Stockholm, Sweden</t>
  </si>
  <si>
    <t>Stockholm University; Swedish Museum of Natural History</t>
  </si>
  <si>
    <t>johan.ehrlen@botan.su.se</t>
  </si>
  <si>
    <t>Ehrlen, Johan/H-6286-2013</t>
  </si>
  <si>
    <t>Ehrlen, Johan/0000-0001-8539-8967</t>
  </si>
  <si>
    <t>1385-0237</t>
  </si>
  <si>
    <t>1573-5052</t>
  </si>
  <si>
    <t>PLANT ECOL</t>
  </si>
  <si>
    <t>Plant Ecol.</t>
  </si>
  <si>
    <t>10.1023/A:1026531122302</t>
  </si>
  <si>
    <t>Plant Sciences; Ecology; Forestry</t>
  </si>
  <si>
    <t>Plant Sciences; Environmental Sciences &amp; Ecology; Forestry</t>
  </si>
  <si>
    <t>381XY</t>
  </si>
  <si>
    <t>WOS:000165790400008</t>
  </si>
  <si>
    <t>Pakhomov, EA; Kuun, P; McQuaid, CD</t>
  </si>
  <si>
    <t>Biology of the bottom-dwelling shrimp Nauticaris marionis Bate, 1888 at the sub-Antarctic Prince Edward Islands</t>
  </si>
  <si>
    <t>EASTERN WEDDELL SEA; SOUTHERN-OCEAN; PANDALUS-BOREALIS; SEAGRASS MEADOW; DECAPODA; CRUSTACEA; GROWTH; DIET; POPULATION; NATANTIA</t>
  </si>
  <si>
    <t>Sub-Antarctic bottom-dwelling caridean shrimps Nauticaris marionis were collected in April/May between 1984 and 1997 over the shelf region of the Prince Edward Islands (37 degrees 50'E, 46 degrees 45'S). N. marionis is a partially protandric hermaphrodite. Hatching probably occurs just before April each year, but may persist until May. During the Ist year N. marionis seem to survive in undetected localities, moult into juveniles, and then settle amongst the benthos from the plankton beginning probably after November. Diel vertical migration then occurs up to an unknown larger size. The vast majority of juveniles develop into males, most of which transmutate into females by April/May of their 3rd year. Reproduction can occur before all male secondary characteristics have been lost. A minority of individuals develop directly into females without passing through a male phase. Individuals older than 5 years are undetectable using samples of the sizes analysed, but they may well persist in the population. The von Bertalanffy growth parameters for N. marionis are tentatively identified as k = 0.2353/year, L-infinity = 12.6 mm, t(0) = -0.2828 years and WWinfinity = 2.03 g. Sex-reversal in N. marionis at Marion Island may be affected by the changing environment as sexual differentiation is probably determined during the planktonic stage.</t>
  </si>
  <si>
    <t>McQuaid, Christopher/AAT-3725-2020</t>
  </si>
  <si>
    <t>McQuaid, Christopher/0000-0002-3473-8308</t>
  </si>
  <si>
    <t>10.1007/s003000000116</t>
  </si>
  <si>
    <t>343NA</t>
  </si>
  <si>
    <t>WOS:000088707400002</t>
  </si>
  <si>
    <t>Mantovani, A; Vieira, RC</t>
  </si>
  <si>
    <t>Leaf micromorphology of antarctic pearlwort Colobanthus quitensis (Kunth) Bartl.</t>
  </si>
  <si>
    <t>PLANTS; CLIMATE; LEAVES</t>
  </si>
  <si>
    <t>The leaf micromorphology of Antarctic pearlwort, Colobanthus quitensis (Kunth) Bartl. was analyzed. Plants were collected at King George Island (62 degrees 5'S, 58 degrees 23'W). Leaves were analyzed by optical and scanning electron microscopy, and quantitative analyses performed on leaf tissues and their internal geometry. C. quitensis leaves are ca. 588 mu m thick, and composed of palisade and spongy parenchyma, respectively ca. 171 and 312 mu m thick. Cuticles are thin and cover short epidermal cells. The central vein is surrounded by two bundles of achlorophyllous cells. Sclerenchymatic tissues are poorly developed. SEM analysis reveals faint striations over leaf surfaces, Stomata are present on both surfaces, but restricted to the leaf margins on the abaxial side. The ratio of mesophyll cell surface area per unit leaf area (Ames/A) is 34.2. The number of cells per cross-sectional area occupied was 24% higher for the palisade than for the spongy tissue, which determines a higher cell surface area pel cross-sectional area for the former tissue. The authors correlate these results to plant ecological distribution in Antarctica and to water and carbon economy.</t>
  </si>
  <si>
    <t>Univ Fed Rio de Janeiro, Dept Bot, CCS, BR-21949900 Rio De Janeiro, Brazil</t>
  </si>
  <si>
    <t>Universidade Federal do Rio de Janeiro</t>
  </si>
  <si>
    <t>Univ Fed Rio de Janeiro, Dept Bot, CCS, Bloco A,Cidade Univ, BR-21949900 Rio De Janeiro, Brazil.</t>
  </si>
  <si>
    <t>vieirarc@biologia.ufrj.br</t>
  </si>
  <si>
    <t>Mantovani, André/GRF-1643-2022</t>
  </si>
  <si>
    <t>10.1007/s003000000117</t>
  </si>
  <si>
    <t>WOS:000088707400003</t>
  </si>
  <si>
    <t>Berrow, SD</t>
  </si>
  <si>
    <t>The use of acoustics to monitor burrow-nesting white-chinned petrels Procellaria aequinoctialis at Bird Island, South Georgia</t>
  </si>
  <si>
    <t>WILSONS STORM-PETREL; SEABIRDS</t>
  </si>
  <si>
    <t>Tape recordings of two types of vocalisations were used to assess bun-ow occupancy by white-chinned petrels (Procellaria aequinoetialis) at South Georgia. Birds responded to the rattle call on 74% of occasions and a wheezy call on 85%, with only 10% railing to respond to both calls played one after the other. Occupancy was determined throughout the pre-egg and incubation period and results confirmed what is known about patterns of occupancy by white-chinned petrels. Adults in burrows known to hatch a chick responded on average to 69% of recordings during incubation and less than 10% in only 4% of burrows. Significant inter-site and inter-annual variations in occupancy were recorded, suggesting that this method is sensitive to changes in the number of petrels returning to breed. A sampling protocol for providing population indices for monitoring purposes is recommended.</t>
  </si>
  <si>
    <t>Berrow, SD (corresponding author), British Antarctic Survey, Natl Environm Res Council, Madingley Rd, Cambridge CB3 0ET, England.</t>
  </si>
  <si>
    <t>10.1007/s003000000128</t>
  </si>
  <si>
    <t>WOS:000088707400010</t>
  </si>
  <si>
    <t>Clark, DJ; Hensen, BJ; Kinny, PD</t>
  </si>
  <si>
    <t>Geochronological constraints for a two-stage history of the Albany-Fraser Orogen, Western Australia</t>
  </si>
  <si>
    <t>Grenvillian; Rodinia; Albany-Fraser Orogen; geochronology; plate tectonics</t>
  </si>
  <si>
    <t>U-PB AGES; ZIRCON GEOCHRONOLOGY; EAST ANTARCTICA; MUSGRAVE RANGES; MOBILE BELT; TH-PB; GRANULITE; EVOLUTION; TERRANES; MA</t>
  </si>
  <si>
    <t>Based on structural, petrographic and geochronological work (SHRIMP zircon, monazite and rutile), the Mesoproterozoic Albany-Fraser Orogeny is divided into two discrete thermo-tectonic stages, between c. 1345 and 1260 Ma (Stage I) and c. 1214 and 1140 Ma (Stage II). The existence of a two-stage history is confirmed by the discovery of 1321 +/- 24 Ma detrital zircons and 1154 +/- 15 Ma metamorphic rutiles in metasedimentary rocks from Mount Ragged. The detrital zircons demonstrate that the Mount Ragged metasedimentary rocks unconformably overly, and were derived from, Stage I basement. Metamorphic rutile formed as a consequence of overthrusting by high-grade early-Stage II rocks along an inferred NE-SW striking structure (the Rodona Fault). This interpretation is supported by zircon geochronology, which demonstrates that granulite facies metamorphism on the northwestern side of the structure predates that on the southeastern side by similar to 100 Ma. Rocks to the northwest record a low-grade imprint relating to the younger (Stage II) event. The two-stage thermo-tectonic history of the Albany-Fraser Orogen correlates with adjacent Grenville-age orogenic belts in Australia and East Antarctica, implying that Mesoproterozoic Australia assembled in two stages subsequent to the amalgamation of the North Australian and West Australian cratons. Initial collision between the combined West Australian-North Australian craton and the South Australian-East Antarctic continent at c. 1300 Ma was followed by intracratonic reactivation affecting basement and cover at c. 1200 Ma. Two comparable and contemporaneous compressional orogenies controlled the formation of the Kibaran Belt in Africa and the Grenville Belt in Canada, suggesting that tectonic events in Mesoproterozoic Australia follow a similar pattern to that recognised for Rodinia amalgamation world-wide. (C) 2000 Elsevier Science B.V. All rights reserved.</t>
  </si>
  <si>
    <t>Univ New S Wales, Dept Appl Geol, Sydney, NSW 2052, Australia; Curtin Univ Technol, Tecton Special Res Ctr, Sch Appl Geol, Perth, WA 6845, Australia</t>
  </si>
  <si>
    <t>University of New South Wales Sydney; Curtin University</t>
  </si>
  <si>
    <t>Univ New S Wales, Dept Appl Geol, Sydney, NSW 2052, Australia.</t>
  </si>
  <si>
    <t>b.hensen@unsw.edu.au</t>
  </si>
  <si>
    <t>Clark, Dan/Y-8469-2019; Kinny, Peter/AAB-8474-2019</t>
  </si>
  <si>
    <t>Clark, Dan/0000-0001-5387-4404; Kinny, Peter/0000-0001-8296-2155</t>
  </si>
  <si>
    <t>1872-7433</t>
  </si>
  <si>
    <t>10.1016/S0301-9268(00)00063-2</t>
  </si>
  <si>
    <t>320QF</t>
  </si>
  <si>
    <t>WOS:000087411300001</t>
  </si>
  <si>
    <t>O'Brien, KM; Xue, HJ; Sidell, BD</t>
  </si>
  <si>
    <t>Quantification of diffusion distance within the spongy myocardium of hearts from antarctic fishes</t>
  </si>
  <si>
    <t>RESPIRATION PHYSIOLOGY</t>
  </si>
  <si>
    <t>diffusion, myocardium; fish, Antarctic (Gobionotothen gibberifrons, Chionodraco rastrospinosus, Chaenocephalus aceratus); heart, myocardial diffusion distance; methods, stereology; muscle, cardiac, diffusion distance; oxygen binding proteins (Antarctic fish)</t>
  </si>
  <si>
    <t>CHAENOCEPHALUS-ACERATUS; RESPIRATORY CHARACTERISTICS; OXYGEN DIFFUSION; MUSCLE; ACCLIMATION</t>
  </si>
  <si>
    <t>We developed a stereological method for quantifying diffusion distance within spongy myocardium. Using this method we compared the hearts of three species of Antarctic fishes that vary in expression of oxygen-binding proteins. We examined hearts from Gobionotothen gibberifrons, a red-blooded species whose ventricle has myoglobin (Mb), and hearts of two species of icefish that lack hemoglobin (Hb) and vary in expression of cardiac Mb; Chionodraco rastrospinosus expresses Mb, Chaenocephalus aceratus does not. Average diffusion distance within ventricular tissue is greater in red-blooded Antarctic teleosts (9.82 +/- 1.37 mu m) compared with icefish (C. rastrospinosus, 6.20 mu m +/- 0.86; C. aceratus, 6.23 +/- 0.41 mu m). Average diffusion distance to a mitochondrion parallels this trend because mitochondria are uniformly distributed within cardiac muscle. Results show that loss of Hb is correlated with increased trabeculation of heart ventricle. Loss of Mb however, is not correlated with an increase in trabeculation of ventricular tissue, despite significant differences in cellular ultrastructure compared with species that express the protein. (C) 2000 Elsevier Science B.V. All rights reserved.</t>
  </si>
  <si>
    <t>Univ Maine, Sch Marine Sci, Orono, ME 04469 USA; Univ Maine, Dept Biol Sci, Orono, ME 04469 USA</t>
  </si>
  <si>
    <t>University of Maine System; University of Maine Orono; University of Maine System; University of Maine Orono</t>
  </si>
  <si>
    <t>Univ Maine, Sch Marine Sci, 210A Libby Hall, Orono, ME 04469 USA.</t>
  </si>
  <si>
    <t>bsidell@maine.edu</t>
  </si>
  <si>
    <t>Xue, Huijie/AAJ-2877-2020</t>
  </si>
  <si>
    <t>Xue, Huijie/0000-0003-0738-4978</t>
  </si>
  <si>
    <t>0034-5687</t>
  </si>
  <si>
    <t>RESP PHYSIOL</t>
  </si>
  <si>
    <t>Respir. Physiol.</t>
  </si>
  <si>
    <t>10.1016/S0034-5687(00)00139-0</t>
  </si>
  <si>
    <t>Physiology; Respiratory System</t>
  </si>
  <si>
    <t>341WE</t>
  </si>
  <si>
    <t>WOS:000088613300007</t>
  </si>
  <si>
    <t>Cretaceous (Late Albian) coniferales of Alexander Island, Antarctica. 1: Wood taxonomy: a quantitative approach</t>
  </si>
  <si>
    <t>Antarctica; conifer; Cretaceous; palaeobotany; wood</t>
  </si>
  <si>
    <t>LIVINGSTON ISLAND; FOSSIL FORESTS; GROWTH RINGS; FLORAS; AUSTRALIA; TERTIARY; CLIMATE; VICTORIA; FOLIAGE</t>
  </si>
  <si>
    <t>Silicified conifer woods are very common in the mid-Cretaceous (Late Albian, 100 Ma) Triton Point Member of the Neptune Glacier Formation (Fossil Bluff Group), SE Alexander Island, Antarctica. These occur as up to 7 m high ii? situ tree trunks and stumps rooted in carbonaceous palaeosols and as allochthonous logs and wood fragments in fluvial channel and sheet sandstone facies. Sixty-eight wood samples were examined in this study and were classified in terms of five form taxa using a quantitative approach. Araucarioxylon (1.5% of specimens) is characterised by dominantly multiseriate, alternately arranged bordered pitting on radial tracheid walls and by 1-4 araucarioid cross-field pitting. Araucariopitys (11.8% of specimens) is characterised by dominantly uniseriate tracheid pitting with subordinate biseriate, alternate tracheid pitting and by 1-4 araucarioid cross-field pitting. Podocarpoxylon sp. 1 (63.1% of specimens) is characterised by contiguous, uniseriate tracheid pitting and 1-2 podocarpoid cross-field pits. Podocarpoxylon sp. 2 (22.1% of specimens) is similar to P. sp. 1, differing only in that ray height is lower, tracheid pits are dominantly spaced more than one pit diameter apart and abundant axial parenchyma is present. These first four taxa all possess growth rings with subtle boundaries. Taxodioxylon (1.5% of specimens) is characterised by 1-2 seriate, oppositely arranged, bordered tracheid pitting, 1-2 taxodioid cross-field pitting and very marked ring boundaries. These woods were derived from large trees with basal stump diameters of up to 0.5 m and probable heights of up to 29 m. Data from leaf traces suggest that Araucariopitys and Podocarpoxylon sp. 1 and sp. 2 (97% of specimens) were evergreen with leaf retention times of &gt; 5 years. These predominantly evergreen conifer forests grew in a mild, high latitude (75 degrees S) environment during the mid-Cretaceous greenhouse climate phase. (C) 2000 Elsevier Science B.V. All rights reserved.</t>
  </si>
  <si>
    <t>Cantrill, David/R-1415-2019; Falcon-Lang, Howard J/D-8465-2011</t>
  </si>
  <si>
    <t>Cantrill, David/0000-0002-1185-4015;</t>
  </si>
  <si>
    <t>10.1016/S0034-6667(00)00012-9</t>
  </si>
  <si>
    <t>353NR</t>
  </si>
  <si>
    <t>WOS:000089282800001</t>
  </si>
  <si>
    <t>Poole, I; Cantrill, DJ; Hayes, P; Francis, J</t>
  </si>
  <si>
    <t>The fossil record of Cunoniaceae: new evidence from Late Cretaceous wood of Antarctica?</t>
  </si>
  <si>
    <t>angiosperm; Antarctica; Cretaceous; Cunoniaceae; fossil; wood</t>
  </si>
  <si>
    <t>SOUTH SHETLAND ISLANDS; JAMES-ROSS-ISLAND; LIVINGSTON ISLAND; NEW-ZEALAND; ANGIOSPERM DIVERSIFICATION; PHYLOGENETIC ANALYSIS; WILLIAMS POINT; PENINSULA; AUSTRALIA; TERTIARY</t>
  </si>
  <si>
    <t>Fossil angiosperm wood from Upper Cretaceous sediments of Livingston Island and James Ross Island in the northern Antarctic Peninsula region is identified as having the combination of anatomical characters most similar to modern Cunoniaceae. The material is characterised by predominantly solitary vessels, opposite to scalariform intervessel pitting, scalariform perforation plates, heterocellular multiseriate and homocellular uniseriate rays, diffuse axial parenchyma. Anatomically, the specimens conform most closely to the fossil organ genus Weinmannioxylon Petriella which has been placed within the Cunoniaceae. The presence of Weinmannioxylon in Late Cretaceous sediments suggests that taxa within or stem taxa to the Cunoniaceae might have been a notable component of the forest vegetation that covered the Antarctic Peninsula during the Late Mesozoic and may therefore represent the earliest record of this family. (C) 2000 Elsevier Science B.V. All rights reserved.</t>
  </si>
  <si>
    <t>Univ Leeds, Sch Earth Sci, Leeds LS2 9JT, W Yorkshire, England; British Antarctic Survey, NERC, Cambridge CB3 0ET, England</t>
  </si>
  <si>
    <t>Univ Leeds, Sch Earth Sci, Leeds LS2 9JT, W Yorkshire, England.</t>
  </si>
  <si>
    <t>i.poole@earth.leeds.ac.uk</t>
  </si>
  <si>
    <t>Cantrill, David/R-1415-2019</t>
  </si>
  <si>
    <t>10.1016/S0034-6667(00)00023-3</t>
  </si>
  <si>
    <t>WOS:000089282800009</t>
  </si>
  <si>
    <t>Heintzenberg, J; Covert, DC; Van Dingenen, R</t>
  </si>
  <si>
    <t>Size distribution and chemical composition of marine aerosols: a compilation and review</t>
  </si>
  <si>
    <t>TELLUS SERIES B-CHEMICAL AND PHYSICAL METEOROLOGY</t>
  </si>
  <si>
    <t>SEA-SALT SULFATE; CHARACTERIZATION EXPERIMENT ACE-1; CLOUD CONDENSATION NUCLEI; COASTAL ANTARCTIC AEROSOL; WINTER ARCTIC AEROSOLS; WESTERN NORTH PACIFIC; LONG-RANGE TRANSPORT; BOUNDARY-LAYER; ATLANTIC-OCEAN; ATMOSPHERIC AEROSOL</t>
  </si>
  <si>
    <t>Some 30 years of physical and chemical marine aerosol data are reviewed to derive global-size distribution parameters and inorganic particle composition on a coarse 15 degrees x 15 degrees grid. There are large gaps in geographical and seasonal coverage and chemical and physical aerosol characterisation. About 28% of the grid cells contain physical data while there are compositional data in some 60% of the cells. The size distribution data were parametrized in terms of 2 submicrometer log-normal distributions. The sparseness of the data did not allow zonal differentiation of the distributions. By segregating the chemical data according to the major aerosol sources, sea salt, dimethylsulfide, crustal material, combustion processes and other anthropogenic sources, much information on mass concentrations and contribution of natural and anthropogenic sources to the marine aerosol can be gleaned from the data base. There are significant meridional differences in the contributions of the different sources to the marine aerosol. Very clearly, we see though that the global marine surface atmosphere is polluted by anthropogenic sulfur. Only in the case of sulfur components did the coverage allow the presentation of very coarse seasonal distributions which reflect the spring blooms in the appropriate parts of the oceans. As an example of the potential value in comparing the marine aerosol data base to chemical transport models, global seasonal meridional MSA distributions were compared to modelled MSA distributions. The general good agreement in mass concentrations is encouraging while some latitudinal discrepancies warrant further investigations covering other aerosol components such as black carbon and metals.</t>
  </si>
  <si>
    <t>Inst Tropospher Res, D-04318 Leipzig, Germany; Univ Washington, Seattle, WA 98195 USA; Commiss European Communities, Joint Res Ctr, Inst Environm, I-21020 Ispra, VA, Italy</t>
  </si>
  <si>
    <t>Leibniz Institut fur Tropospharenforschung (TROPOS); University of Washington; University of Washington Seattle; European Commission Joint Research Centre; EC JRC ISPRA Site; Italian Institute for Environmental Protection &amp; Research (ISPRA)</t>
  </si>
  <si>
    <t>Heintzenberg, J (corresponding author), Inst Tropospher Res, Permoserstr 15, D-04318 Leipzig, Germany.</t>
  </si>
  <si>
    <t>Van Dingenen, Rita/AAI-3197-2021</t>
  </si>
  <si>
    <t>Van Dingenen, Rita/0000-0003-2521-4972</t>
  </si>
  <si>
    <t>0280-6509</t>
  </si>
  <si>
    <t>TELLUS B</t>
  </si>
  <si>
    <t>Tellus Ser. B-Chem. Phys. Meteorol.</t>
  </si>
  <si>
    <t>10.1034/j.1600-0889.2000.00136.x</t>
  </si>
  <si>
    <t>361KA</t>
  </si>
  <si>
    <t>WOS:000089721200005</t>
  </si>
  <si>
    <t>Rozbaczylo, N; Canahuire, E</t>
  </si>
  <si>
    <t>Aphrodita bisetosa (Polychaeta: Aphroditidae), a new species of sea mouse from the southeastern Pacific Ocean off central Chile</t>
  </si>
  <si>
    <t>A new species of Aphroditidae, Aphrodita bisetosa from the southeastern Pacific Ocean off central Chile, is described. Specimens were collected in soft bottoms, 27-37 km from the coast line in front of Los Vilos (31 degrees 56'S) and Papudo (32 degrees 31'S), at 250-400 m depth. The new species was compared with A. magellanica Malard, 1891 from the Magellan area, Chile and A. alta Kinberg, 1855 from Rio de janeiro, Brazil, and the Antarctic region, with which it appears to be more closely related.</t>
  </si>
  <si>
    <t>Pontificia Univ Catolica Chile, Fac Ciencias Biol, Dept Ecol, Santiago, Chile; Univ Nacl Mayor San Marcos, Fac Ciencias Biol, Lima 14, Peru</t>
  </si>
  <si>
    <t>Pontificia Universidad Catolica de Chile; Universidad Nacional Mayor de San Marcos</t>
  </si>
  <si>
    <t>Rozbaczylo, N (corresponding author), Pontificia Univ Catolica Chile, Fac Ciencias Biol, Dept Ecol, Casilla 114-D, Santiago, Chile.</t>
  </si>
  <si>
    <t>JUL 31</t>
  </si>
  <si>
    <t>341TQ</t>
  </si>
  <si>
    <t>WOS:000088606000016</t>
  </si>
  <si>
    <t>Harasewych, MG; Kantor, YI; Linse, K</t>
  </si>
  <si>
    <t>Parabuccinum, a new genus of Magellanic buccinulid (Gastropoda: Neogastropoda), with a description of a new species</t>
  </si>
  <si>
    <t>A new genus, Parabuccinum, is established for four bathyal Magellanic species, of which one, Parabuccinum rauscherti, is described as new. The remaining three species were originally described in the Antarctic genus Chlanidota, from which they differ in the morphology of their protoconch, operculum, radula, stomach, and male reproductive system. Parabuccinum appears to be most closely related to the monotypic circumAntarctic genus Neobuccinum, but may be distinguished on the basis of shell and penis morphology, as well as by the size and shape of the gland of Leiblein. Parabuccinum is endemic to the Magellanic Province, and is the first record of the subfamily Bucinulinae in the malacofauna of this region.</t>
  </si>
  <si>
    <t>Smithsonian Inst, Natl Museum Nat Hist, Dept Invertebrate Zool, Washington, DC 20560 USA; Russian Acad Sci, AN Severtzov Inst Problems Evolut, Moscow 117071, Russia; Univ Hamburg, Inst Zool, D-20146 Hamburg, Germany; Univ Hamburg, Zool Museum, D-20146 Hamburg, Germany</t>
  </si>
  <si>
    <t>Smithsonian Institution; Smithsonian National Museum of Natural History; Russian Academy of Sciences; Saratov Scientific Center of the Russian Academy of Sciences; Severtsov Institute of Ecology &amp; Evolution; University of Hamburg; University of Hamburg</t>
  </si>
  <si>
    <t>Harasewych, MG (corresponding author), Smithsonian Inst, Natl Museum Nat Hist, Dept Invertebrate Zool, Washington, DC 20560 USA.</t>
  </si>
  <si>
    <t>Kantor, Yuri/HKW-8238-2023; Kantor, Yuri/D-5259-2014</t>
  </si>
  <si>
    <t>WOS:000088606000021</t>
  </si>
  <si>
    <t>Sturges, WT; Wallington, TJ; Hurley, MD; Shine, KP; Sihra, K; Engel, A; Oram, DE; Penkett, SA; Mulvaney, R; Brenninkmeijer, CAM</t>
  </si>
  <si>
    <t>A potent greenhouse gas identified in the atmosphere:: SF5CF3</t>
  </si>
  <si>
    <t>LIFETIMES; CLIMATE; TRENDS; SF6</t>
  </si>
  <si>
    <t>We detected a compound previously unreported in the atmosphere, trifluoromethyl sulfur pentafluoride (SF5CF3). Measurements of its infrared absorption cross section show SF5CF3 to have a radiative forcing of 0.57 watt per square meter per parts per billion. This is the largest radiative forcing, on a per molecule basis, of any gas found in the atmosphere to date. Antarctic firn measurements show it to have grown from near zero in the late 1960s to about 0.12 part per trillion in 1999. It is presently growing by about 0.008 part per trillion per year, or 6% per year. Stratospheric profiles of SF5CF3 suggest that it is long-Lived in the atmosphere (on the order of 1000 years).</t>
  </si>
  <si>
    <t>Univ E Anglia, Sch Environm Sci, Norwich NR4 7TJ, Norfolk, England; Ford Motor Co, Dearborn, MI 48121 USA; Univ Reading, Dept Meteorol, Reading RG6 6BB, Berks, England; Univ Frankfurt, Inst Meteorol &amp; Geophys, D-60325 Frankfurt, Germany; British Antarctic Survey, NERC, Cambridge CB3 0ET, England; Max Planck Inst Chem, Div Atmospher Chem, D-55060 Mainz, Germany</t>
  </si>
  <si>
    <t>University of East Anglia; Ford Motor Company; University of Reading; Goethe University Frankfurt; UK Research &amp; Innovation (UKRI); Natural Environment Research Council (NERC); NERC British Antarctic Survey; Max Planck Society</t>
  </si>
  <si>
    <t>Sturges, WT (corresponding author), Univ E Anglia, Sch Environm Sci, Norwich NR4 7TJ, Norfolk, England.</t>
  </si>
  <si>
    <t>Brenninkmeijer, Carl/B-6860-2013; Engel, Andreas/E-3100-2014; Mulvaney, Robert/K-3929-2012; Shine, Keith/D-9093-2012</t>
  </si>
  <si>
    <t>Engel, Andreas/0000-0003-0557-3935; Mulvaney, Robert/0000-0002-5372-8148; Shine, Keith/0000-0003-2672-9978</t>
  </si>
  <si>
    <t>JUL 28</t>
  </si>
  <si>
    <t>10.1126/science.289.5479.611</t>
  </si>
  <si>
    <t>338XD</t>
  </si>
  <si>
    <t>WOS:000088447800051</t>
  </si>
  <si>
    <t>McDonald, M; de Zafra, RL; Muscari, G</t>
  </si>
  <si>
    <t>Millimeter wave spectroscopic measurements over the South Pole 5.: Morphology and evolution of HNO3 vertical distribution, 1993 versus 1995</t>
  </si>
  <si>
    <t>STRATOSPHERIC NITRIC-ACID; ANTARCTIC STRATOSPHERE; REACTIVE NITROGEN; JANUARY 1992; AEROSOL; OZONE; VORTEX; N2O5; WINTER; CLONO2</t>
  </si>
  <si>
    <t>We compare differences and similarities in the annual stratospheric HNO3 cycle derived from ground-based measurements at the South Pole during 1993 and 1995, after correcting an error in earlier published profile retrievals for 1993 which led to under estimation of mixing ratios. The data series presented here provide profiling over the range similar to 16-48 km, and cover the fall-winter-spring cycle in the behavior of HNO3 in the extreme Antarctic with a large degree of temporal overlap. With the exception of one gap of 20 days, the combined data sets cover a full annual cycle. The record shows an increase in HNO3 above 30 km occurring about 20 days before sunset, which appears to be the result of higher altitude heterogeneous conversion of NOx as photolysis diminishes. Both years show a strong increase in HNO3 beginning about polar sunset, in a layer peaking at about 25 km, as additional NOx is heterogeneously converted to nitric acid. When temperatures drop to the polar stratospheric cloud (PSC) formation range near the end of May, gas phase HNO3 is rapidly reduced in the lower stratosphere, although at least 2-3 weeks of temperatures less than or equal to 192 K appear to be required to complete most of the gas-phase removal at the upper end of the depletion range (22-25 km). Despite a significant difference in residual sulfate loading from the explosion of Mount Pinatubo, there appears to be little gross difference in the timing and effects of PSC formation in removing gas phase HNO3 in these 2 years, though removal may be more rapid in 1995. Incorporation of gas phase HNO3 into PSCs appears to be nearly complete up to similar to 25 km by midwinter. We also see a repeat of the formation of gas phase HNO3 in the middle stratosphere in early midwinter of 1995 with about the same timing as in 1993, suggesting that this phenomenon is driven by a repetition of dynamical transport and appropriate temperatures and pressures in the polar night, and not (as has been suggested) by ion-based heterogeneous chemistry that requires triggering by large relativistic electron fluxes. High-altitude HNO3 production peaks during a period of similar to 20 days, but appears to persist for up to similar to 40 days in the 40-45 km range, ceasing well before sunrise. This HNO3 descends rapidly throughout the production period, at a rate in good agreement with theoretically determined midwinter subsidence rates. As noted in earlier studies, later warming of this region above PSC evaporation temperatures does not cause reappearance of large amounts of HNO3, indicating that most PSCs gravitationally sink out of the stratosphere before early spring. We present evidence that smaller PSCs do evaporate to similar to 1 to 3.5 ppbv of HNO3 in the lower stratosphere, however, working downward from similar to 25 km as temperatures rise during the late winter. There is a delay of similar to 15 days after sunrise before photolysis causes significant depletion in the altitude range below similar to 30 km, where subsidence has carried virtually all higher-altitude HNO3 by polar sunrise. Some continued subsidence and photolysis combine to keep mixing ratios less than similar to 5 ppbv below 30 km until the final breakdown of the vortex in November brings larger amounts of HNO3 with air from lower latitudes.</t>
  </si>
  <si>
    <t>SUNY Stony Brook, Dept Phys &amp; Astron, Stony Brook, NY 11794 USA; SUNY Stony Brook, Inst Terr &amp; Planetary Atmospheres, Stony Brook, NY 11794 USA</t>
  </si>
  <si>
    <t>State University of New York (SUNY) System; State University of New York (SUNY) Stony Brook; State University of New York (SUNY) System; State University of New York (SUNY) Stony Brook</t>
  </si>
  <si>
    <t>Def Res Estab, Airborne Radar &amp; Navigat Sect, 3701 Carling Ave, Ottawa, ON K1A 0Z4, Canada.</t>
  </si>
  <si>
    <t>mcdonald@dreo.dnd.ca; rdezafra@notes.cc.sunysb.edu; muscari@atnisci.misrc.sunysb.edu</t>
  </si>
  <si>
    <t>Muscari, Giovanni/0000-0001-6326-2612</t>
  </si>
  <si>
    <t>JUL 27</t>
  </si>
  <si>
    <t>D14</t>
  </si>
  <si>
    <t>10.1029/2000JD900120</t>
  </si>
  <si>
    <t>337NT</t>
  </si>
  <si>
    <t>WOS:000088368700005</t>
  </si>
  <si>
    <t>Yoshiki, M; Sato, K</t>
  </si>
  <si>
    <t>A statistical study of gravity waves in the polar regions based on operational radiosonde data</t>
  </si>
  <si>
    <t>EQUATORIAL LOWER STRATOSPHERE; MIDDLE ATMOSPHERE; OZONE DEPLETION; MU-RADAR; DISTURBANCES; MOMENTUM</t>
  </si>
  <si>
    <t>Gravity waves in the lower polar stratosphere are examined using operational radiosonde observations gathered from 33 stations over a period of 10 years. Both the potential and kinetic energies of the gravity waves vary annually and reach maxima in winter in the Arctic and in spring in the Antarctic. In the Antarctic spring a region of large gravity wave energy propagates downward following the movement of a zone of high static stability associated with Southern Hemispheric warming. Moreover, the enhanced energy region and the high stability zone coincide in the horizontal plane and move gradually from 135 degrees E, 50 degrees S to 45 degrees W, 70 degrees S over the South Pole. The vertical and horizontal directions of wave propagation are examined using hodograph analysis in the vertical. Most gravity waves transfer energy upward in the Arctic, while the percentage of downward energy propagation is relatively high in winter and spring in the Antarctic. Horizontally, gravity waves propagate westward relative to the mean wind in the Arctic, while in the Antarctic the dominant direction varies from station to station. The correlation between gravity wave energy in the lower stratosphere and the mean wind is also examined. In the Arctic, gravity wave energy is highly correlated with the surface wind, though in the Antarctic it correlates with the stratospheric wind. These results suggest that gravity waves observed in the Arctic are forced by topography, whereas in Antarctica some sources may exist in the stratosphere. One such source candidate is likely to be the polar night jet.</t>
  </si>
  <si>
    <t>Kyoto Univ, Fac Sci, Dept Geophys, Kyoto 6068502, Japan; Natl Inst Polar Res, Tokyo, Japan</t>
  </si>
  <si>
    <t>Kyoto University; Research Organization of Information &amp; Systems (ROIS); National Institute of Polar Research (NIPR) - Japan</t>
  </si>
  <si>
    <t>Kyoto Univ, Fac Sci, Dept Geophys, Kyoto 6068502, Japan.</t>
  </si>
  <si>
    <t>yoshiki@kugi.kyoto-u.ac.jp</t>
  </si>
  <si>
    <t>Satoh, Kaoru/P-2047-2015; Sato, Kaoru/E-1693-2012</t>
  </si>
  <si>
    <t>Sato, Kaoru/0000-0002-6225-6066</t>
  </si>
  <si>
    <t>10.1029/2000JD900204</t>
  </si>
  <si>
    <t>WOS:000088368700021</t>
  </si>
  <si>
    <t>Anandakrisknan, S; Voigt, DE; Burkett, PG; Long, B; Henry, R</t>
  </si>
  <si>
    <t>Deployment of a broadband seismic network in West Antarctica</t>
  </si>
  <si>
    <t>EARTHQUAKES</t>
  </si>
  <si>
    <t>A network of six broadband seismic stations was deployed in West Antarctica in November, 1998. A new data recording instrument and power system was developed to operate the stations year round using solar energy in the summer and wind energy in the winter. The data logging technology, designed to record geophysical parameters (broadband seismic and geodetic GPS-Global Positioning System), is also appropriate for other remote Antarctic and Arctic data recording applications with similar data bandwidths. The seismicity of Antarctica is hypothesized to be low, but that could be an artifact of the poor distribution and small number of seismic stations on the continent. One goal of the experiment is to record data in the West Antarctic (the region most likely to exhibit seismic activity) for sufficient lengths of time in order to address this hypothesis fully. In addition, the data are useful for determining crust and mantle structure and properties. The network has been active for about half the time since installation, which is sufficient to draw statistically significant conclusions on regional seismicity. The experiment will continue for the next two years, with system modifications that should improve the performance of the network.</t>
  </si>
  <si>
    <t>Univ Alabama, Dept Geol Sci, Tuscaloosa, AL 35487 USA; Penn State Univ, Dept Geosci, University Pk, PA 16802 USA; Penn State Univ, Inst Environm, University Pk, PA 16802 USA</t>
  </si>
  <si>
    <t>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</si>
  <si>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Anandakrisknan, S (corresponding author), Univ Alabama, Dept Geol Sci, Tuscaloosa, AL 35487 USA.</t>
  </si>
  <si>
    <t>JUL 15</t>
  </si>
  <si>
    <t>10.1029/1999GL011189</t>
  </si>
  <si>
    <t>337AQ</t>
  </si>
  <si>
    <t>WOS:000088335500010</t>
  </si>
  <si>
    <t>Siegert, MJ; Hodgkins, R</t>
  </si>
  <si>
    <t>A stratigraphic link across 1100 km of the Antarctic Ice Sheet between the Vostok ice-core site and Titan Dome (near South Pole)</t>
  </si>
  <si>
    <t>Isochronous internal ice-sheet layering, measured from airborne 60 MHz radar, was traced between Lake Vostok and the Titan Ice Dome (100 km from South Pole Station), Antarctica. Three layers were selected between Ridge B and Titan Dome, and between Ridge B and Lake Vostok. This layering can be used to correlate the existing Vostok ice core across 1100 km of the ice sheet interior. Our correlation is also matched to the new EPICA ice-core site, by using an existing radar link between Vostok and Dome C stations. Thus, three East Antarctic ice domes are linked stratigraphically for the first time through internal ice-sheet radar layering. Our results indicate that the basal layers of ice at Titan Dome are around 165,000 years old suggesting that this location and, by inference, the South Pole Station, are prime sites for a high-resolution ice core from the last glacial-interglacial cycle.</t>
  </si>
  <si>
    <t>Univ Bristol, Sch Geog Sci, Bristol Glaciol Ctr, Bristol BS8 1SS, Avon, England; Univ London Royal Holloway &amp; Bedford New Coll, Dept Geog, Egham TW20 0EX, Surrey, England</t>
  </si>
  <si>
    <t>University of Bristol; University of London; Royal Holloway University London</t>
  </si>
  <si>
    <t>Siegert, Martin/M-9939-2019; Siegert, Martin J/A-3826-2008; Hodgkins, Richard/F-5430-2011</t>
  </si>
  <si>
    <t>Siegert, Martin/0000-0002-0090-4806; Siegert, Martin J/0000-0002-0090-4806;</t>
  </si>
  <si>
    <t>10.1029/2000GL008479</t>
  </si>
  <si>
    <t>WOS:000088335500030</t>
  </si>
  <si>
    <t>McKay, CP</t>
  </si>
  <si>
    <t>Thickness of tropical ice and photosynthesis on a snowball Earth</t>
  </si>
  <si>
    <t>GLACIATION; ANTARCTICA; LAKES; LIFE</t>
  </si>
  <si>
    <t>On a completely ice-covered snowball Earth the thickness of ice in the tropical regions would be limited by the sunlight penetrating into the ice cover and by the latent heat flux generated by freezing at the ice bottom - the freezing rate would balance the sublimation rate from the top of the ice cover. Heat transfer models of the perennially ice-covered Antarctic dry valley lakes applied to the snowball Earth indicate that the tropical ice cover would have a thickness of 10 m or less with a corresponding transmissivity of &gt; 0.1%. This light level is adequate for photosynthesis and could explain the survival of the eukaryotic algae.</t>
  </si>
  <si>
    <t>NASA, Ames Res Ctr, Div Space Sci, Moffett Field, CA 94035 USA</t>
  </si>
  <si>
    <t>McKay, CP (corresponding author), NASA, Ames Res Ctr, Div Space Sci, Moffett Field, CA 94035 USA.</t>
  </si>
  <si>
    <t>McKay, Christopher/0000-0002-6243-1362</t>
  </si>
  <si>
    <t>10.1029/2000GL008525</t>
  </si>
  <si>
    <t>WOS:000088335500035</t>
  </si>
  <si>
    <t>Harlander, U; Schönfeldt, HJ; Metz, M</t>
  </si>
  <si>
    <t>Rossby waveguides in high-latitude shear flows with boundaries</t>
  </si>
  <si>
    <t>ANTARCTIC CIRCUMPOLAR CURRENT; WAVE PROPAGATION; LONGSHORE CURRENTS; CRITICAL LAYERS; EDGE WAVES; ATMOSPHERE; FREQUENCY; PACKETS; OCEANS; WIND</t>
  </si>
  <si>
    <t>This study investigates the dynamics of trapped Rossby waves at high latitudes in zonal ocean currents with linear and jet-like shears. As integration domain, we use a modified beta plane (with a rigid boundary at the poleward side), where the second derivative of the Coriolis parameter with respect to latitude is taken into account (delta term). We distinguish between trapped modal Rossby waves and trapped Rossby wave packets. The former exhibit a monochromatic wave structure alongshore but have a modal structure in the direction perpendicular to the boundary. In contrast, trapped wave packets form a local disturbance and consist of a superposition of a range of different Fourier modes rather than a single wave. We study the propagation and the structural change of barotropic quasi-geostrophic Rossby wave packets by means of a Wenzel, Kramers, and Brillouin (WKB) method and consider also the amplitudes and wave numbers of the corresponding trapped modal waves. The amplitude equation is solved either by the WKB method or by analytical and numerical techniques. Basic flows and wave frequencies are prescribed in such a way that no critical lines can occur. We compare analytical, asymptotical, and numerical solutions of trapped modal waves and discuss the influence of the Earth's sphericity on the wave packet propagation and on the eigenvalues and eigenfunctions of the trapped modal waves. Dispersion diagrams of the coastally trapped modal Rossby waves in the considered shear flows are also presented. The dispersion curves show that trapped modal Rossby waves exist for a wide range of different basic flow amplitudes, shear strengths, and frequencies. It further turns out that for a high-latitude beta plane, the delta term should definitely be taken into account. We suggest that such a selective Rossby waveguide may play a role in the dynamics of the Antarctic Circumpolar Current.</t>
  </si>
  <si>
    <t>Univ Leipzig, Inst Meteorol, D-04103 Leipzig, Germany</t>
  </si>
  <si>
    <t>Leipzig University</t>
  </si>
  <si>
    <t>Univ Leipzig, Inst Meteorol, Stephanstr 3, D-04103 Leipzig, Germany.</t>
  </si>
  <si>
    <t>C7</t>
  </si>
  <si>
    <t>10.1029/2000JC900064</t>
  </si>
  <si>
    <t>335TJ</t>
  </si>
  <si>
    <t>WOS:000088260600018</t>
  </si>
  <si>
    <t>Alexandrov, VY; Martin, T; Kolatschek, J; Eicken, H; Kreyscher, M; Makshtas, AP</t>
  </si>
  <si>
    <t>Sea ice circulation in the Laptev Sea and ice export to the Arctic Ocean: Results front satellite remote sensing and numerical modeling</t>
  </si>
  <si>
    <t>FRAM STRAIT; TRANSPORT; REGIMES; MOTION</t>
  </si>
  <si>
    <t>Sea ice circulation in the Laptev Sea and ice exchange with the Arctic Ocean have been studied based on remote sensing data and numerical modeling. Ice drift patterns for short- and long-term periods were retrieved from successive Okean radar images and Special Sensor Microwave/Imager data for the winters 1987/1988 and 1994/1995. Seasonal and inter-annual variabilities of ice drift in the Laptev Sea and ice exchange with the Arctic Ocean during the period from 1979 to 1995 were studied with a large-scale dynamic-thermodynamic sea ice model. During an average year, sea ice was exported from the Laptev Sea through its northern and eastern boundaries, with maximum and minimum export occurring in February and August, respectively. The winter ice outflow from the Laptev Sea varied between 251,000 km(2) (1984/1985) and 732,000 km(2) (1988/1989) with the mean value of 483,000 km(2) Sea ice was exported into the East Siberian Sea mostly in summers with the mean value of 69,000 km(2). Out of the 17 investigated summers, 12 were characterized by sea ice import from the Arctic Ocean into the Laptev Sea through its northern boundary. Magnitude and direction of ice export from the Laptev Sea corresponded with the large-scale Arctic Ocean drift patterns during periods of prevailing cyclonic or anticyclonic circulation. Based on a semi-empirical method that has been validated with the large-scale model and satellite data: ice exchange between the Laptev Sea and the Arctic Ocean during the period from 1936 to 1995 has been estimated as 309,000km(2) with strong interannual variability and no significant trend apparent.</t>
  </si>
  <si>
    <t>Nansen Int Environm &amp; Remote Sensing Ctr, St Petersburg 197110, Russia; Alfred Wegener Inst Polar &amp; Marine Res, D-27515 Bremerhaven, Germany; Arctic &amp; Antarctic Res Inst, St Petersburg, Russia</t>
  </si>
  <si>
    <t>Nansen Environmental &amp; Remote Sensing Center (NERSC); Helmholtz Association; Alfred Wegener Institute, Helmholtz Centre for Polar &amp; Marine Research; Arctic &amp; Antarctic Research Institute</t>
  </si>
  <si>
    <t>Nansen Int Environm &amp; Remote Sensing Ctr, Korpusnaya Str 18, St Petersburg 197110, Russia.</t>
  </si>
  <si>
    <t>vitali.alexandrov@niersc.spb.ru; tmartin@ifm.uni-kiel.de; kolatsch@awi-bremerhaven.de; hajo.eicken@gi.alaska.edu; makshtas@iarc.uaf.edu</t>
  </si>
  <si>
    <t>Martin, Thomas/AAF-9515-2021; Eicken, Hajo/M-6901-2016</t>
  </si>
  <si>
    <t>Martin, Thomas/0000-0003-2897-722X;</t>
  </si>
  <si>
    <t>10.1029/2000JC900029</t>
  </si>
  <si>
    <t>WOS:000088260600023</t>
  </si>
  <si>
    <t>Ponte, RM; Stammer, D</t>
  </si>
  <si>
    <t>Global and regional axial ocean angular momentum signals and length-of-day variations (1985-1996)</t>
  </si>
  <si>
    <t>GENERAL-CIRCULATION MODEL; EARTHS ROTATION; BOTTOM PRESSURE; POLAR MOTION; SEA-LEVEL; VARIABILITY; BALANCE; FLUCTUATIONS; TORQUES</t>
  </si>
  <si>
    <t>Changes in ocean angular momentum nl about the polar axis are related to fluctuations in zonal currents (relative component M-r) and latitudinal shifts in mass (planetary component M-Omega). Output from a 10 ocean model is used to calculate global M-r, M-Omega, and M time series at 5 day intervals for the period January 1985 to April 1996. The annual cycle in M-r, M-Omega, and M is larger than the semiannual cycle, and M-Omega amplitudes are nearly twice those of M-r. Year-to-year modulation of the seasonal cycle is present, but interannual variability is weak. The spectrum of M is red (background slope between omega(-1) and omega(-2)) at subseasonal periods, implying a white or blue spectrum for the external torque on the ocean. Comparisons with previous studies indicate the importance of direct atmospheric forcing in inducing subseasonal M signals, relative to instabilities and other internal sources of rapid oceanic signals. Regional angular momentum estimates show that seasonal variability tends to be larger at low latitudes, but many local maxima exist because of the spatial structure of zonal current and mass variability. At seasonal timescales, latitudes similar to 20 degrees S-10 degrees N contribute substantial variability to M-Omega, while signals in M-r can be traced to Antarctic Circumpolar Current transports and associated circulation. Variability in M is found to be small when compared with similar time series for the atmosphere and the solid Earth, but ocean signals are significantly coherent with atmosphere-solid Earth residuals, implying a measurable oceanic impact on length-of-day variations.</t>
  </si>
  <si>
    <t>Atmospher &amp; Environm Res Inc, Cambridge, MA 02139 USA; Scripps Inst Oceanog, Phys Oceanog Res Div, La Jolla, CA 92093 USA</t>
  </si>
  <si>
    <t>Atmospheric &amp; Environmental Research; University of California System; University of California San Diego; Scripps Institution of Oceanography</t>
  </si>
  <si>
    <t>Ponte, RM (corresponding author), Atmospher &amp; Environm Res Inc, 840 Mem Dr, Cambridge, MA 02139 USA.</t>
  </si>
  <si>
    <t>ponte@aer.com; dstammer@ucsd.edu</t>
  </si>
  <si>
    <t>Ponte, Rui/AAE-9824-2020</t>
  </si>
  <si>
    <t>Ponte, Rui/0000-0001-7206-6461</t>
  </si>
  <si>
    <t>10.1029/1999JC000157</t>
  </si>
  <si>
    <t>WOS:000088260600024</t>
  </si>
  <si>
    <t>Pudsey, CJ</t>
  </si>
  <si>
    <t>Sedimentation on the continental rise west of the Antarctic Peninsula over the last three glacial cycles</t>
  </si>
  <si>
    <t>Antarctic Peninsula; biogenic barium; continental rise; glacial-interglacial; sediment drifts; sediment geochemistry</t>
  </si>
  <si>
    <t>CIRCUMPOLAR CURRENT; WEDDELL-SEA; PACIFIC MARGIN; SURFACE SEDIMENTS; ATLANTIC SECTOR; SOUTH-ATLANTIC; SCOTIA SEA; TRANSPORT; HISTORY; RETREAT</t>
  </si>
  <si>
    <t>The continental rise west of the Antarctic Peninsula includes a number of large sediment mounds interpreted as contourite drifts. Cores from six sediment drifts spanning some 650 km of the margin and 4 degrees of latitude have been dated using chemical and isotopic tracers of palaeoproductivity and diatom biostratigraphy. Interglacial sedimentation rates range from 1.1 to 4.3 cm/ka. Glacial sedimentation rates range from 1.8 to 13.5 cm/ka, and decrease from proximal to distal sites on each drift. Late Quaternary sedimentation was cyclic, with brown, biogenic, burrowed mud containing ice-rafted debris (IRD) in interglacials and grey, barren, laminated mud in glacials. Foraminiferal intervals occur in interglacial stages 5 and 7 but not in the Holocene. Processes of terrigenous sediment supply during glacial stages differed; meltwater plumes were more important in stages 2-4, turbidity currents and ice-rafting in stage 6. The terrigenous component shows compositional changes along the margin, more marked in glacials. The major oxides Al2O3 and K2O an higher in the southwest, and CaO and TiO2 higher in the northeast. There is more smectite among the clay minerals in the northeast. Magnetic susceptibility varies along and between drifts. These changes reflect source variations along the margin. Interglacial sediments show less clear trends, and their IRD was derived from a wider area. Downslope processes were dominant in glacials, but alongslope processes may have attained equal importance in interglacials. The area contrasts with the East Antarctic continental slope in the SE Weddell Sea, where ice-rafting is the dominant process and where interglacial sedimentation rates are much higher than glacial. The differences in glacial setting and margin physiography can account for these contrasts. (C) 2000 Elsevier Science B.V. All rights reserved.</t>
  </si>
  <si>
    <t>Pudsey, CJ (corresponding author), British Antarctic Survey, High Cross,Madingley Rd, Cambridge CB3 0ET, England.</t>
  </si>
  <si>
    <t>10.1016/S0025-3227(00)00039-6</t>
  </si>
  <si>
    <t>334LC</t>
  </si>
  <si>
    <t>WOS:000088187100008</t>
  </si>
  <si>
    <t>The relationship between leaf longevity and growth ring markedness in modern conifer woods and its implications for palaeoclimatic studies</t>
  </si>
  <si>
    <t>conifer; growth ring; palaeoclimate; wood</t>
  </si>
  <si>
    <t>ALEXANDER-ISLAND; PALEOCLIMATIC INTERPRETATION; PETRIFIED FOREST; FOSSIL FORESTS; SOUTH-WALES; ANTARCTICA; BRITAIN; PALEOSOLS; CLIMATE; TREES</t>
  </si>
  <si>
    <t>Growth rings in modern conifer woods were quantitatively analysed to investigate the relationship between leaf longevity and the markedness of the growth ring boundary. Five conifer species exhibiting a wide range of Leaf Retention Times (LRTs) were examined in anatomical sections stored in the Jodrell Laboratory, Royal Botanic Gardens, Kew, Surrey, UK. The species studied were Larix decidua Mill. (deciduous), Pinus sylvestris L. (LRT = 1-3 years), Picea abies (L.) H. Karst. (LRT = 3-5 years), Cedrus libani A. Rich. (LRT = 3-6 years), and Araucaria araucana (Molina) K. Koch (LRT = 3-15 years). Two aspects of ring markedness were quantified: (1) the percentage of latewood in each growth ring increment and (2) the difference between the maximum and minimum radial cell diameters in the growth ring increment expressed as a percentage of the maximum cell diameter (percentage diminution). The product of these two parameters was calculated to give a Ring Markedness Index (RMI). Five growth ring increments were measured for each species from poorly provenanced specimens grown in southern England. Statistical analysis of these data shows that there is a significant inverse linear relationship between median LRT and percentage latewood (R-2 = 0.86), percentage diminution (R-2 = 0.77), and RMI (R-2 = 0.91), at P &lt; 0.001. These data suggest that leaf longevity exerts an important control on growth ring markedness, in addition to the influence exerted by the growing environment (climatic and edaphic conditions). The significance of these results for the palaeoclimatic analysis of growth rings in fossil woods is discussed with reference to two case-studies: (1) the Early Carboniferous tropical climate of the British Isles and (2) the Early Cretaceous polar climate of the Antarctic Peninsula. (C) 2000 Elsevier Science B.V. All rights reserved.</t>
  </si>
  <si>
    <t>Falcon-Lang, HJ (corresponding author), British Antarctic Survey, High Cross,Madingley Rd, Cambridge CB3 0ET, England.</t>
  </si>
  <si>
    <t>10.1016/S0031-0182(00)00079-1</t>
  </si>
  <si>
    <t>330JH</t>
  </si>
  <si>
    <t>WOS:000087958600010</t>
  </si>
  <si>
    <t>Henry, C; Das, S; Woodhouse, JH</t>
  </si>
  <si>
    <t>The great March 25, 1998, Antarctic Plate earthquake: Moment tensor and rupture history</t>
  </si>
  <si>
    <t>MACQUARIE RIDGE EARTHQUAKE; INTRAPLATE SEISMICITY; INVERSION; SEA; STRESSES; MODEL; BASIN; SLIP; AGE</t>
  </si>
  <si>
    <t>We use broadband body and mantle wave data to study the 1998 Antarctic intraplate earthquake. The: centroid moment tensor (CMT) has a large non-double-couple component. There exist two pure double-couple constrained solutions that fit the data almost equally well. The frequent practice of taking the best double-couple gives a far from optimal solution. We use P and SH body waves to determine the rupture parameters of the first and larger of the two observed subevents. The best rupture plane, with strike 96 degrees, dip 69 degrees, and rake -18 degrees, is compatible with only one of the two CMT solutions: strike 96 degrees, dip 64 degrees, rake -23 degrees, centroid location (63.1 degrees S, 148.4 degrees E, 10 km depth), centroid time 0313:02 UT, and M-0 = 1.3 x 10(21) N m (M-w = 8.0). The first subevent is a simple, primarily westward propagating similar to 140-km rupture, of similar to 45-s duration, with average velocity greater than or similar to 3 km s(-1); it has' a seismic moment of 1.2 x 10(21) N m (M-w = 8.0), with 75% of its moment released between 10 and 27 s, and a stress drop of similar to 240 bars. The rupture is physically bounded by two fracture zones at 147.5 degrees E and 150 degrees E. The second subevent lasted from 70 to 90 s on a fault extending from 210 to 270 km west of the epicenter, with a moment of 0.3-0.6 x 10(21) N m (M-w = 7.6-7.8). This is a spectacular example of dynamic stress triggering over a 100-km separation distance with a time delay of similar to 40 s. The complex pattern of aftershocks is primarily controlled by preexisting fracture zones on the ocean floor.</t>
  </si>
  <si>
    <t>Univ Oxford, Dept Earth Sci, Oxford OX1 3PR, England</t>
  </si>
  <si>
    <t>Henry, C (corresponding author), Univ Oxford, Dept Earth Sci, Parks Rd, Oxford OX1 3PR, England.</t>
  </si>
  <si>
    <t>das@earth.ox.ac.uk</t>
  </si>
  <si>
    <t>JUL 10</t>
  </si>
  <si>
    <t>B7</t>
  </si>
  <si>
    <t>10.1029/2000JB900077</t>
  </si>
  <si>
    <t>335TZ</t>
  </si>
  <si>
    <t>WOS:000088262000001</t>
  </si>
  <si>
    <t>Wahr, J; Wingham, D; Bentley, C</t>
  </si>
  <si>
    <t>A method of combining ICESat and GRACE satellite data to constrain Antarctic mass balance</t>
  </si>
  <si>
    <t>SHEET; MODEL; FLUCTUATIONS; PREDICTIONS; EARTH</t>
  </si>
  <si>
    <t>Measurements from the Geoscience Laser Altimeter System (GLAS) aboard NASA's ICESat satellite (2001 launch) will be used to estimate the secular change in Antarctic ice mass. We have simulated 5 years of GLAS data to infer the likely accuracy of these GLAS mass balance estimates. We conclude that ICESat will be able to determine the linear rate of change in Antarctic ice mass occurring during those 5 years to an accuracy of similar to 7 mm/yr equivalent water thickness when averaged over the entire ice sheet. By further including the difference between the typical 5-year trend and the long-term (i.e., century-scale) trend, we estimate that GLAS should be able to provide the long-term trend in mass to an accuracy of about +/-9 mm/yr of equivalent water thickness, corresponding to an accuracy for the Antarctic contribution to the century-scale global sea level rise of about +/-0.3 mm/yr. For both cases the principal error sources are inadequate knowledge of postglacial rebound and of complications caused by interannual and decadal variations in the accumulation rate. We also simulate 5 years of gravity measurements from the NASA and Deutsches Zentrum fur Luft-und Raumfahrt (DLR) satellite mission Gravity Recovery and Climate Experiment (GRACE)(2001 launch). We find that by combining GLAS and GRACE measurements, it should be possible to slightly reduce the postglacial rebound error in the GLAS mass balance estimates. The improvement obtained by adding the gravity data would be substantially greater for multiple, successive altimeter and gravity missions.</t>
  </si>
  <si>
    <t>Univ Colorado, Dept Phys, Boulder, CO 80309 USA; Univ Colorado, Cooperat Inst Res Environm Sci, Boulder, CO 80309 USA; Univ Wisconsin, Dept Geol &amp; Geophys, Madison, WI 53706 USA; UCL, Dept Space &amp; Climate Phys, London WC1H 0AH, England</t>
  </si>
  <si>
    <t>University of Colorado System; University of Colorado Boulder; University of Colorado System; University of Colorado Boulder; University of Wisconsin System; University of Wisconsin Madison; University of London; University College London</t>
  </si>
  <si>
    <t>Wahr, J (corresponding author), Univ Colorado, Dept Phys, Campus Box 390, Boulder, CO 80309 USA.</t>
  </si>
  <si>
    <t>wahr@lemond.colorado.edu; bentley@geology.wisc.edu</t>
  </si>
  <si>
    <t>10.1029/2000JB900113</t>
  </si>
  <si>
    <t>WOS:000088262000015</t>
  </si>
  <si>
    <t>Pasqual, D; Molin, G; Tribaudino, M</t>
  </si>
  <si>
    <t>Single-crystal thermometric calibration of Fe-Mg order-disorder in pigeonites</t>
  </si>
  <si>
    <t>AMERICAN MINERALOGIST</t>
  </si>
  <si>
    <t>ORTHO-PYROXENE; THERMAL HISTORY; ORTHOPYROXENES; TEMPERATURE; CHEMISTRY; THERMODYNAMICS; CLINOPYROXENE; METEORITE</t>
  </si>
  <si>
    <t>The single-crystal X-lay technique was used to calibrate a new intracrystalline geothermometer based on equilibrium Mg-Fe* fractionation (Fe* = Fe2+ + Mn2+) between M1 and M2 sites of natural P2(1)/c pigeonite, Suitable crystals free of exsolution textures and sharp diffraction maxima were selected by careful TEM and XRD investigations from a large number of samples. Two single crystals, PCA82506-3 (Wo(6)En(76)Fs(18)) from the Pecora Escarpment 82506 Antarctic ureilite, and BTS308-2 (Wo(10)En(47)Fs(43)) from the BTS308 Parana rhyodacite, were annealed at temperatures ranging from 600 to 1000 degrees C. The TEM investigation, carried out on fragments of selected single crystals both before and after thermal treatment, shows heating-induced texture modifications preliminary to spinodal decomposition in both crystals and a size increase in antiphase domains in BTS308-2, The two geothermometric equations calculated by linear regression of In K-D* vs. 1/T are: In K-D* = -3291(+/- 269)/T(K) + 0.971(+/-0.253); (r(2) = 0.974) ln K-D* = -2816(+/- 83)/T(K) + 0.542(+/-0.083); (r(2) = 0.995) respectively for PCA82506-3 (X-Fe* = 0.20) and BTS308-2 (X-Fe* = 0.49) [X-Fe* = Fe*/(Fe* + Mg)]. These results imply negligible compositional effects on Mg-Fe* site partitioning within the range of compositions encompassed by the samples. Comparison of the intracrystalline fractionation data of pigeonites with those of Pbca orthopyroxenes shows a similar degree of ordering for both at a given temperature. This result suggests only a small effect of Ca on Fe*-Mg ordering in pyroxene with Ca content up to Wo(10).</t>
  </si>
  <si>
    <t>Univ Padua, Dipartimento Mineral &amp; Petrol, I-35127 Padua, Italy; Univ Turin, Dipartimento Sci Mineral &amp; Petrol, I-10125 Turin, Italy</t>
  </si>
  <si>
    <t>University of Padua; University of Turin</t>
  </si>
  <si>
    <t>Pasqual, D (corresponding author), Univ Padua, Dipartimento Mineral &amp; Petrol, I-35127 Padua, Italy.</t>
  </si>
  <si>
    <t>Tribaudino, Mario/AAF-9164-2019; Tribaudino, Mario/ISR-8817-2023</t>
  </si>
  <si>
    <t>Tribaudino, Mario/0000-0003-4941-2914; Tribaudino, Mario/0000-0003-4941-2914</t>
  </si>
  <si>
    <t>MINERALOGICAL SOC AMER</t>
  </si>
  <si>
    <t>1015 EIGHTEENTH ST, NW SUITE 601, WASHINGTON, DC 20036 USA</t>
  </si>
  <si>
    <t>0003-004X</t>
  </si>
  <si>
    <t>AM MINERAL</t>
  </si>
  <si>
    <t>Am. Miner.</t>
  </si>
  <si>
    <t>JUL-AUG</t>
  </si>
  <si>
    <t>7-8</t>
  </si>
  <si>
    <t>10.2138/am-2000-0709</t>
  </si>
  <si>
    <t>Geochemistry &amp; Geophysics; Mineralogy</t>
  </si>
  <si>
    <t>330MH</t>
  </si>
  <si>
    <t>WOS:000087965500009</t>
  </si>
  <si>
    <t>Fuller-Rowell, TJ; Codrescu, MC; Wilkinson, P</t>
  </si>
  <si>
    <t>Quantitative modeling of the ionospheric response to geomagnetic activity</t>
  </si>
  <si>
    <t>ionosphere; ionospheric disturbances; mid-latitude ionosphere; modeling and forecasting</t>
  </si>
  <si>
    <t>ANTARCTIC F-REGION; THERMOSPHERIC COMPOSITION; MIDDLE LATITUDES; STORMS; ELECTRODYNAMICS; PATTERNS; LAYER</t>
  </si>
  <si>
    <t>A physical model of the coupled thermosphere and ionosphere has been used to determine the accuracy of model predictions of the ionospheric response to geomagnetic activity, and assess our understanding of the physical processes. The physical model is driven by empirical descriptions of the high-latitude electric field and auroral precipitation, as measures of the strength of the magnetospheric sources of energy and momentum to the upper atmosphere. Both sources are keyed to the time-dependent TIROS/NOAA auroral power index. The output of the model is the departure of the ionospheric F region from the normal climatological mean. A. 50-day interval towards the end of 1997 has been simulated with the model for two cases. The first simulation uses only the electric fields and auroral forcing from the empirical models, and the second has an additional source of random electric field variability. In both cases, output from the physical model is compared with F-region data from ionosonde stations. Quantitative model/data comparisons have been performed to move beyond the conventional visual scientific assessment, in order to determine the value of the predictions for operational use. For this study, the ionosphere at two ionosonde stations has been studied in depth, one each from the not-them and southern midlatitudes. The model clearly captures the seasonal dependence in the ionospheric response to geomagnetic activity at mid-latitude: reproducing the tendency for decreased ion density in the summer hemisphere and increased densities in winter. In contrast to the visual success of the model, the detailed quantitative comparisons, which are necessary for space weather applications, are less impressive. The accuracy, or value, of the model has been quantified by evaluating the daily standard deviation, the root-mean-square error, and the correlation coefficient between the data and model predictions. The modeled quiet-time variability, or standard deviation, and the increases during geomagnetic activity, agree well with the data in winter, but is low in summer. The RMS error of the physical model is about the same as the IRT. empirical model during quiet times. During the storm events the RLMS error of the model improves on IRI, but there are occasionally false-alarms. Using unsmoothed data over the full interval, the correlation coefficients between the model and data are low, between 0.3 and 0.4. Isolating the storm intervals increases the correlation to between 0.43 and 0.56, and by smoothing the data the values increases up to 0.65. The study illustrates the substantial difference between scientific success and a demonstration of value for space weather applications.</t>
  </si>
  <si>
    <t>NOAA, Space Environm Ctr, Boulder, CO 80303 USA; Univ Colorado, CIRES, Boulder, CO 80303 USA; Ionospher Predict Serv, Sydney, NSW, Australia</t>
  </si>
  <si>
    <t>National Oceanic Atmospheric Admin (NOAA) - USA; University of Colorado System; University of Colorado Boulder</t>
  </si>
  <si>
    <t>NOAA, Space Environm Ctr, Boulder, CO 80303 USA.</t>
  </si>
  <si>
    <t>tjfr@sec.noaa.gov</t>
  </si>
  <si>
    <t>JUL</t>
  </si>
  <si>
    <t>10.1007/s005850000233</t>
  </si>
  <si>
    <t>338BB</t>
  </si>
  <si>
    <t>WOS:000088397300005</t>
  </si>
  <si>
    <t>Appelbaum, S; Kamler, E</t>
  </si>
  <si>
    <t>Survival, growth, metabolism and behaviour of Clarias gariepinus (Burchell 1822) early stages under different light conditions</t>
  </si>
  <si>
    <t>AQUACULTURAL ENGINEERING</t>
  </si>
  <si>
    <t>Clarias gariepinus; light; survival; cannibalism; growth; metabolism</t>
  </si>
  <si>
    <t>TEMPERATURE-INDUCED CHANGES; AFRICAN CATFISH; LARVAE; JUVENILES; CANNIBALISM; NUTRITION; EMBRYOS</t>
  </si>
  <si>
    <t>African catfish, Clarias gariepinus were exposed to total darkness (group D or continuous light (L) during endogenous feeding. During external feeding some of the fish continued to be reared ill darkness (DD) and some in light (LL), whereas two groups were exposed to reversed light conditions (groups DL and LD). Survival to the end of yolk absorption was 22% greater in fish exposed to darkness; during subsequent rearing survival decreased in the sequence DD &gt; LD &gt; DL &gt; LL. The onset of external feeding was delayed by a few hours in the L-group as compared with the D-group. Fish reared in dark were larger than those reared in light; the size difference increased with age. In dark, the ratio of total metabolism to body growth (the R-tot/P ratio, both in terms of energy) was depressed, hence in the dark, energy used for locomotor activity may have been low, leading to increased investment in growth. We hypothesised that in juveniles light exerts an indirect effect by increasing locomotor activity which in turn promotes multiple encounters between individuals and enhances cannibalistic behaviour. During the fifth and sixth weeks post-fertilization the biomass of fish reared in the dark was about 175% of that in fish reared in light. Light restriction may be recommended as a simple, low-cost technique for intensification of production of C. gariepinus stocking material. (C) 2000 Elsevier Science B.V. All rights reserved.</t>
  </si>
  <si>
    <t>Polish Acad Sci, Int Ctr Ecol, PL-05092 Lomianki, Poland; Ben Gurion Univ Negev, Jacob Blaustein Inst Desert Res, Bengis Ctr Desert Aquaculture, IL-84990 Sede Boqer, Israel; Polish Acad Sci, Dept Antarctic Biol, PL-02141 Warsaw, Poland</t>
  </si>
  <si>
    <t>Polish Academy of Sciences; Ben Gurion University; Polish Academy of Sciences</t>
  </si>
  <si>
    <t>Polish Acad Sci, Int Ctr Ecol, PL-05092 Lomianki, Poland.</t>
  </si>
  <si>
    <t>kamler@dab.waw.pl</t>
  </si>
  <si>
    <t>0144-8609</t>
  </si>
  <si>
    <t>1873-5614</t>
  </si>
  <si>
    <t>AQUACULT ENG</t>
  </si>
  <si>
    <t>Aquac. Eng.</t>
  </si>
  <si>
    <t>10.1016/S0144-8609(00)00054-6</t>
  </si>
  <si>
    <t>Agricultural Engineering; Fisheries</t>
  </si>
  <si>
    <t>Agriculture; Fisheries</t>
  </si>
  <si>
    <t>321ZG</t>
  </si>
  <si>
    <t>WOS:000087484800003</t>
  </si>
  <si>
    <t>Piovano, M; Chamy, MC; Garbarino, JA; Quilhot, W</t>
  </si>
  <si>
    <t>Secondary metabolites in the genus Sticta (lichens)</t>
  </si>
  <si>
    <t>BIOCHEMICAL SYSTEMATICS AND ECOLOGY</t>
  </si>
  <si>
    <t>Sticta; secondary products; usnic acid; terpenoids</t>
  </si>
  <si>
    <t>NEW-ZEALAND; ANTARCTIC LICHENS; DECOMPOSITION</t>
  </si>
  <si>
    <t>Univ Tecn Federico Santa Maria, Dept Quim, Valparaiso, Chile; Univ Valparaiso, Fac Med, Escuela Quim &amp; Farm, Valparaiso, Chile</t>
  </si>
  <si>
    <t>Universidad Tecnica Federico Santa Maria; Universidad de Valparaiso</t>
  </si>
  <si>
    <t>Garbarino, JA (corresponding author), Univ Tecn Federico Santa Maria, Dept Quim, Casilla 110-V, Valparaiso, Chile.</t>
  </si>
  <si>
    <t>jgarbari@qui.utfsm.cl</t>
  </si>
  <si>
    <t>0305-1978</t>
  </si>
  <si>
    <t>1873-2925</t>
  </si>
  <si>
    <t>BIOCHEM SYST ECOL</t>
  </si>
  <si>
    <t>Biochem. Syst. Ecol.</t>
  </si>
  <si>
    <t>10.1016/S0305-1978(99)00092-7</t>
  </si>
  <si>
    <t>Biochemistry &amp; Molecular Biology; Ecology; Evolutionary Biology</t>
  </si>
  <si>
    <t>Biochemistry &amp; Molecular Biology; Environmental Sciences &amp; Ecology; Evolutionary Biology</t>
  </si>
  <si>
    <t>316FT</t>
  </si>
  <si>
    <t>WOS:000087157500008</t>
  </si>
  <si>
    <t>Gravitational causality of fluctuations in the rate of oxidation of unithiol by nitrite ion</t>
  </si>
  <si>
    <t>cosmic- and biological correlations; unithiol oxidation; gravitational field</t>
  </si>
  <si>
    <t>The rate of oxidation of unithiol (sodium dimercaptopropansulfonate) by nitrite ion was determined in the course of the annual experiment at the Antarctic station Mirny in 1996-1997. The rhythmic fluctuations in the oxidation rate were found. It is shown that these fluctuations correlate with changes in the velocity of the Earth's forward-rotational movement by the action of the Sun and Moon.</t>
  </si>
  <si>
    <t>Gorshkov, ES (corresponding author), Russian Acad Sci, Inst Terr Magnetism Ionosphere &amp; Radio Wave Propa, St Petersburg Filial, St Petersburg 191023, Russia.</t>
  </si>
  <si>
    <t>370AD</t>
  </si>
  <si>
    <t>WOS:000165099200006</t>
  </si>
  <si>
    <t>Bromberg, S; Nonato, EF; Corbisier, TN; Petti, MAV</t>
  </si>
  <si>
    <t>Polychaete distribution in the near-shore zone of Martel Inlet, Admiralty Bay (King George Island, Antarctica)</t>
  </si>
  <si>
    <t>BULLETIN OF MARINE SCIENCE</t>
  </si>
  <si>
    <t>6th International Polychaete Conference</t>
  </si>
  <si>
    <t>AUG 02-07, 1998</t>
  </si>
  <si>
    <t>CURITIBA, BRAZIL</t>
  </si>
  <si>
    <t>SOUTH-SHETLAND-ISLANDS; BENTHIC COMMUNITIES; BIOMASS</t>
  </si>
  <si>
    <t>Although a considerable amount of literature exists on Antarctic polychaetes, comparatively few ecological studies have been carried out in shallow waters (to 30 m). In these environments, inherent factors such as freezing of the intertidal and upper sublittoral zones, iceberg scouring and formation of anchor ice greatly influence the faunal distribution and community structure. The aim of this study is to investigate the structure of the polychaete assemblages in a shallow soft bottom environment in the Antarctic and to assess the relationships with bottom type and ice effects. The samples were taken in December 1994 along a transect comprising four sampling stations ranging from 6-25 m depth, adjacent to the Brazilian Antarctic Station Comandante Ferraz at Martel Inlet, Admiralty Bay. Two additional stations were established at a depth of 18 m in order to study the effect of ice-scouring. Five replicates per station were sampled with corers taken by SCUBA divers. The polychaete distribution showed a distinct zonation pattern as a function of depth induced mainly by sedimentary differences and ice-scouring. The polychaete density, biomass and species diversity increased with depth. In the area affected by ice-scouring, these structural parameters were more variable. A total of 31 species in 18 families was recorded across the sampling area. Four species accounted for 80% of the total abundance: Apistobranchus gudrunae, Tharyx cincinnatus, Leitoscoloplos kerguelensis and Ophryotrocha notialis. Certain tube-dwelling polychaetes, such as Leaena cf. collaris and Asychis amphiglypta, occurred only at the 18 and 25 m stations where the ice-effects are less than at the shallower stations. Conversely, some species, notably those belonging to taxa known to be opportunistic in life-style, such as Ophryotrocha notialis and Microspio cf moorei, were more abundant at the shallow stations.</t>
  </si>
  <si>
    <t>Univ Sao Paulo, Inst Oceanog, BR-05508900 Sao Paulo, Brazil</t>
  </si>
  <si>
    <t>Universidade de Sao Paulo</t>
  </si>
  <si>
    <t>Bromberg, S (corresponding author), Univ Sao Paulo, Inst Oceanog, Praca Oceanog 191, BR-05508900 Sao Paulo, Brazil.</t>
  </si>
  <si>
    <t>Petti, Monica A V/S-6367-2016; Bromberg, Sandra/S-6266-2016; Corbisier, Thais N./R-8255-2017</t>
  </si>
  <si>
    <t>ROSENSTIEL SCH MAR ATMOS SCI</t>
  </si>
  <si>
    <t>MIAMI</t>
  </si>
  <si>
    <t>4600 RICKENBACKER CAUSEWAY, MIAMI, FL 33149 USA</t>
  </si>
  <si>
    <t>0007-4977</t>
  </si>
  <si>
    <t>B MAR SCI</t>
  </si>
  <si>
    <t>Bull. Mar. Sci.</t>
  </si>
  <si>
    <t>370RV</t>
  </si>
  <si>
    <t>WOS:000165136800020</t>
  </si>
  <si>
    <t>Monfort, P; Demers, S; Levasseur, M</t>
  </si>
  <si>
    <t>Bacterial dynamics in first year sea ice and underlying seawater of Saroma-ko Lagoon (Sea of Okhotsk, Japan) and Resolute Passage (High Canadian Arctic): Inhibitory effects of ice algae on bacterial dynamics</t>
  </si>
  <si>
    <t>CANADIAN JOURNAL OF MICROBIOLOGY</t>
  </si>
  <si>
    <t>bacteria; culturability; algae; inhibitory effects; sea ice; Arctic</t>
  </si>
  <si>
    <t>MICROBIAL FOOD-WEB; ANTARCTIC PACK ICE; HETEROTROPHIC BACTERIA; MCMURDO-SOUND; WEDDELL SEA; COMMUNITIES; WATER; PHYTOPLANKTON; GROWTH; ABUNDANCE</t>
  </si>
  <si>
    <t>The seasonal development of bacterial abundance in first year bottom ice and underlying seawater were studied at Saroma-ko Lagoon in Hokkaido, Japan, and at Resolute Passage in the High Canadian Arctic during the algal bloom in spring 1992. The aim of this study was to evaluate whether the high algal concentrations reached during the bloom of ice algae have inhibitory effects on bacterial dynamics. Bacterial abundance (measured as total cell count and colony-forming units CFU) increased with the increase of the algal biomass up to 500 mu g Chla.L-1 in both locations. Culturable fraction (measured as the percentage of CFU counts versus the total cell counts) was between 7% and 22% at Saroma-ko, and approximately 0.08% at Resolute Passage. When algal biomass exceeded 500 mu g of Chla.L-1, both bacterial abundance and culturable fraction decreased significantly. There was a maximum threshold of algal biomass (between 500 and 800 mu g of Chla.L-1) after which bacterial dynamics become negatively coupled to the algal biomass. These results suggest that bactericidal and/or bacteriostatic compounds from these extremely high algal concentrations could explain the decrease in bacterial abundance and culturability in bottom ice observed after the ice algae bloom.</t>
  </si>
  <si>
    <t>Univ Montpellier 2, CNRS, Unite Mixte Rech Ecosyst Lagunaires 5556, F-34095 Montpellier 05, France; Minist Peches &amp; Oceans, Inst Maurice Lamontagne, Mt Joli, PQ G5H 3Z4, Canada; Univ Quebec, Inst Sci Mer Rimouski, Rimouski, PQ G5L 3A1, Canada</t>
  </si>
  <si>
    <t>Universite de Montpellier; Centre National de la Recherche Scientifique (CNRS); Fisheries &amp; Oceans Canada; University of Quebec</t>
  </si>
  <si>
    <t>Monfort, P (corresponding author), Univ Montpellier 2, CNRS, Unite Mixte Rech Ecosyst Lagunaires 5556, Case 093, F-34095 Montpellier 05, France.</t>
  </si>
  <si>
    <t>MONFORT, Patrick/E-8620-2010</t>
  </si>
  <si>
    <t>MONFORT, Patrick/0000-0002-7868-2166</t>
  </si>
  <si>
    <t>NATL RESEARCH COUNCIL CANADA</t>
  </si>
  <si>
    <t>OTTAWA</t>
  </si>
  <si>
    <t>RESEARCH JOURNALS, MONTREAL RD, OTTAWA, ONTARIO K1A 0R6, CANADA</t>
  </si>
  <si>
    <t>0008-4166</t>
  </si>
  <si>
    <t>CAN J MICROBIOL</t>
  </si>
  <si>
    <t>Can. J. Microbiol.</t>
  </si>
  <si>
    <t>10.1139/cjm-46-7-623</t>
  </si>
  <si>
    <t>Biochemistry &amp; Molecular Biology; Biotechnology &amp; Applied Microbiology; Immunology; Microbiology</t>
  </si>
  <si>
    <t>335XV</t>
  </si>
  <si>
    <t>WOS:000088272400006</t>
  </si>
  <si>
    <t>Walter, HJ; van der Loeff, MMR; Höltzen, H; Bathmann, U</t>
  </si>
  <si>
    <t>Reduced scavenging of 230Th in the Weddell Sea:: Implications for paleoceanographic reconstructions in the South Atlantic</t>
  </si>
  <si>
    <t>Weddell Sea; thorium-230; protactinium-231; scavenging; export; Th-normalization</t>
  </si>
  <si>
    <t>PARTICLE-FLUX; INTERGLACIAL CHANGES; SURFACE SEDIMENTS; ATMOSPHERIC CO2; POLAR FRONT; OCEAN; PA-231; WATER; SECTOR; ICE</t>
  </si>
  <si>
    <t>The scavenging of Th-230 and Pa-231 was investigated in the central Weddell Sea by combining results from a sediment trap and three sediment cores. Scavenging of both radionuclides is closely coupled with the annual cycle of particle fluxes. For Th-230 the mean radionuclide Aux measured in the trap is only 40% of its expected flux from production in the water column. This value is in excellent agreement with the long-term record in the sediment cores (33-43%). Similar results were obtained for Pa-231, although burial fluxes are generally higher. The data suggest that during the last 130 ka the Weddell Sea has been a net source for both radionuclides, with more than half of the Th-230 and about half of the Pa-231 being exported. As a consequence, Th-230 normalized rain rates (assuming a constant flux equal to the production rate) overestimate the true rain rate in the Weddell Sea by 150%. The laterally transported Th-230 and Pa-231 activity exits the Weddell Sea to the north, where it is incorporated into the eastward flowing Antarctic Circumpolar Current (ACC). There it is scavenged in addition to local production. During its residence time in the S-Atlantic sector of the ACC about 3/4 of the dissolved Th-230 imported from the Weddell Sea is transferred onto particles. Whether this particulate Th-230 is entirely deposited in the S-Atlantic or is distributed over a larger area extending into the Indian and Pacific sectors of the ACC remains an open question. In the ACC. Th-normalization therefore leads to an underestimation of fluxes, but the effect is probably less than 50%. Interglacial-glacial shifts in the position of the productive belt are believed to cause temporal and regional variations in the depositon rate for Th-230. (C) 2000 Elsevier Science Ltd. All rights reserved.</t>
  </si>
  <si>
    <t>Walter, HJ (corresponding author), Alfred Wegener Inst Polar &amp; Marine Res, Handelshafen 12, D-27570 Bremerhaven, Germany.</t>
  </si>
  <si>
    <t>Bathmann, Ulrich/ISV-4351-2023</t>
  </si>
  <si>
    <t>10.1016/S0967-0637(99)00094-1</t>
  </si>
  <si>
    <t>313AH</t>
  </si>
  <si>
    <t>WOS:000086975800009</t>
  </si>
  <si>
    <t>Nagurnyi, AP; Belov, NA</t>
  </si>
  <si>
    <t>Quaternary climatic variations in the Arctic region: Evidence of periodic uprises of North Atlantic rises and restriction of the Atlantic water inflow into the Arctic Ocean</t>
  </si>
  <si>
    <t>DOKLADY EARTH SCIENCES</t>
  </si>
  <si>
    <t>State Res Ctr Russian Fed, Arctic &amp; Antarctic Res Inst, St Petersburg 199397, Russia</t>
  </si>
  <si>
    <t>Nagurnyi, AP (corresponding author), State Res Ctr Russian Fed, Arctic &amp; Antarctic Res Inst, Ul Beringa 38, St Petersburg 199397, Russia.</t>
  </si>
  <si>
    <t>1028-334X</t>
  </si>
  <si>
    <t>DOKL EARTH SCI</t>
  </si>
  <si>
    <t>Dokl. Earth Sci.</t>
  </si>
  <si>
    <t>373A</t>
  </si>
  <si>
    <t>357VN</t>
  </si>
  <si>
    <t>WOS:000089521600017</t>
  </si>
  <si>
    <t>Hauksson, JB; Andrésson, OS; Asgeirsson, B</t>
  </si>
  <si>
    <t>Heat-labile bacterial alkaline phosphatase from a marine Vibrio sp</t>
  </si>
  <si>
    <t>ENZYME AND MICROBIAL TECHNOLOGY</t>
  </si>
  <si>
    <t>Vibrio sp.; alkaline phosphatase; stability; cold-adaptation; psychrophilic; marine bacterium</t>
  </si>
  <si>
    <t>ACTIVE CITRATE SYNTHASE; AMINO-ACID-SEQUENCE; ANTARCTIC BACTERIA; COLD ADAPTATION; GADUS-MORHUA; CONFORMATIONAL FLEXIBILITY; PSYCHROPHILIC ENZYMES; ALPHA-AMYLASE; ATLANTIC COD; PURIFICATION</t>
  </si>
  <si>
    <t>Psychrophilic organisms have successfully adapted to various low-temperature environments such as cold ocean waters. Catalysts with increased catalytic efficiencies are produced, generally at the expense of thermal stability due to fewer non-covalent stabilizing interactions. A marine bacterial strain producing a particularly heat-labile alkaline phosphatase was selected from a total of 232 strains isolated from North-Atlantic coastal waters. From partial 16S rRNA sequences the strain was characterized as a Vibrio sp. An alkaline phosphatase was purified 151-fold with 54% yield from the culture medium using a single step affinity chromatography procedure on agarose-linked L-histidyldiazobenzylphosphonic acid. The active enzyme was a 55 +/- 6 kDa monomer. The enzyme had optimal activity at pH 10 and was strikingly heat-labile with a half-life of 6 min at 40 degrees C and 30 min at 32 degrees C. This enzyme from Vibrio sp, had a higher turnover number (k(cat)) and higher apparent Michaelis-Menten factor (K-m) than the enzyme from Escherichia coli, a clear-indication of cold-adaptation. Inorganic phosphate was a competitive inhibitor with a relatively high Ki value of 1.7 mM. Low affinity for phosphate may contribute to higher turnover rates due to more facile release of product. (C) 2000 Elsevier Science Inc. All rights reserved.</t>
  </si>
  <si>
    <t>Univ Iceland, Inst Sci, Dept Chem, IS-107 Reykjavik, Iceland; Univ Iceland, Inst Expt Pathol, Reykjavik, Iceland</t>
  </si>
  <si>
    <t>University of Iceland; University of Iceland</t>
  </si>
  <si>
    <t>Univ Iceland, Inst Sci, Dept Chem, Dunhaga 3, IS-107 Reykjavik, Iceland.</t>
  </si>
  <si>
    <t>bjarni@raunvis.hi.is</t>
  </si>
  <si>
    <t>Asgeirsson, Bjarni/E-3747-2015</t>
  </si>
  <si>
    <t>Asgeirsson, Bjarni/0000-0002-4275-2732</t>
  </si>
  <si>
    <t>0141-0229</t>
  </si>
  <si>
    <t>1879-0909</t>
  </si>
  <si>
    <t>ENZYME MICROB TECH</t>
  </si>
  <si>
    <t>Enzyme Microb. Technol.</t>
  </si>
  <si>
    <t>10.1016/S0141-0229(00)00152-6</t>
  </si>
  <si>
    <t>Biotechnology &amp; Applied Microbiology</t>
  </si>
  <si>
    <t>328YX</t>
  </si>
  <si>
    <t>WOS:000087880300009</t>
  </si>
  <si>
    <t>Hewitt, RP; Demer, DA</t>
  </si>
  <si>
    <t>The use of acoustic sampling to estimate the dispersion and abundance of euphausiids, with an emphasis on Antarctic krill, Euphausia superba</t>
  </si>
  <si>
    <t>FISHERIES RESEARCH</t>
  </si>
  <si>
    <t>SONAR; active acoustics; zooplankton; euphausiids; CCAMLR</t>
  </si>
  <si>
    <t>ELEPHANT-ISLAND; TARGET STRENGTH; SOUTH-GEORGIA; BACKSCATTERING STRENGTH; ZOOPLANKTON SIZE; SOUND SCATTERING; VARIABILITY; PREY; ORIENTATION; PATTERNS</t>
  </si>
  <si>
    <t>Acoustic sampling has been used to investigate the ecology of Antarctic krill (Euphausia superba) and to provide information on dispersion and abundance necessary to manage their harvest. Population estimates based on multi-ship acoustic surveys have been used to set catch limits. More localized acoustic surveys have been conducted to study the response of land-breeding krill predators to local variations in their food supply. These and future surveys may result in additional controls on the fishery. In this context, the use of acoustics to survey euphausiids is reviewed and major sources of uncertainty are discussed. These issues are organized as they pertain to the two broad steps of acoustic surveys: (1) estimating the volumetric density of krill (measurement uncertainty) and (2) mapping krill distribution and estimating abundance (sampling uncertainty). Published by Elsevier Science B.V.</t>
  </si>
  <si>
    <t>SW Fisheries Sci Ctr, La Jolla, CA 92038 USA</t>
  </si>
  <si>
    <t>Hewitt, RP (corresponding author), SW Fisheries Sci Ctr, POB 271, La Jolla, CA 92038 USA.</t>
  </si>
  <si>
    <t>, David/ABC-8990-2022</t>
  </si>
  <si>
    <t>, David/0000-0001-5083-8854</t>
  </si>
  <si>
    <t>0165-7836</t>
  </si>
  <si>
    <t>FISH RES</t>
  </si>
  <si>
    <t>Fish Res.</t>
  </si>
  <si>
    <t>10.1016/S0165-7836(00)00171-5</t>
  </si>
  <si>
    <t>325CJ</t>
  </si>
  <si>
    <t>WOS:000087658500011</t>
  </si>
  <si>
    <t>Livermore, R; Balanyá, JC; Maldonado, A; Martínez, JM; Rodríguez-Fernández, J; de Galdeano, CS; Zaldívar, JG; Jabaloy, A; Barnolas, A; Somoza, L; Hernández-Molina, J; Suriñach, E; Viseras, C</t>
  </si>
  <si>
    <t>Autopsy on a dead spreading center:: The Phoenix Ridge, Drake Passage, Antarctica</t>
  </si>
  <si>
    <t>Drake Passage; Phoenix Ridge; Antarctic plate; spreading centers</t>
  </si>
  <si>
    <t>PACIFIC-OCEAN; PENINSULA; EVOLUTION; MARGIN; RANGES; WEST</t>
  </si>
  <si>
    <t>New bathymetric and magnetic anomaly data from the Phoenix Ridge, Antarctica, show that extinction of all three remaining segments occurred at the time of magnetic chron C2A (3.3 +/- 0.2 Ma), synchronous with a ridge-trench collision south of the Hero Fracture Zone. This implies that the ultimate cause of extinction was a change in plate boundary forces occasioned by this collision. Spreading rates slowed abruptly at the time of chron C4 (7.8 +/- 0.3 Ma), probably as a result of extinction of the West Scotia Ridge, which would have led to an increase in slip rate and transpressional stress across the Shackleton Fracture Zone. Spectacular, high relief ridges flanking the extinct spreading center, mapped for the first time using multibeam swath bathymetry, are interpreted as a consequence of a reduction in spreading rate, involving a temporary magma oversupply immediately prior to extinction.</t>
  </si>
  <si>
    <t>British Antarctic Survey, Cambridge CB3 0ET, England; Univ Granada, Inst Andaluz Ciencias Tierra, Granada 18002, Spain; Univ Granada, Dept Geodinam, E-18071 Granada, Spain; Inst Tecnol Geominero Espana, Madrid 28003, Spain; Fac Ciencias Mar, Cadiz, Spain; Univ Barcelona, Dept Geodinam &amp; Geofis, Barcelona 08028, Spain; Univ Granada, Dept Estratigrafia &amp; Paleontol, E-18071 Granada, Spain</t>
  </si>
  <si>
    <t>UK Research &amp; Innovation (UKRI); Natural Environment Research Council (NERC); NERC British Antarctic Survey; Consejo Superior de Investigaciones Cientificas (CSIC); CSIC - Instituto Andaluz de Ciencias de la Tierra (IACT); University of Granada; University of Granada; Universidad de Cadiz; University of Barcelona; University of Granada</t>
  </si>
  <si>
    <t>Livermore, R (corresponding author), British Antarctic Survey, Cambridge CB3 0ET, England.</t>
  </si>
  <si>
    <t>Galindo-Zaldivar, Jesus/K-3640-2012; Somoza, Luis/C-1400-2010; Surinach, Emma/C-5896-2008; JABALOY SANCHEZ, ANTONIO/L-2955-2014; Livermore, Roy/M-1566-2019; Viseras, Cesar/AAV-2519-2021; Barnolas, Antonio/AAQ-6863-2021; RODRIGUEZ-FERNANDEZ, JOSE/L-7077-2014</t>
  </si>
  <si>
    <t>Galindo-Zaldivar, Jesus/0000-0002-3493-2637; Somoza, Luis/0000-0001-5451-2288; JABALOY SANCHEZ, ANTONIO/0000-0001-5830-5913; Barnolas, Antonio/0000-0002-4124-3426; RODRIGUEZ-FERNANDEZ, JOSE/0000-0003-0349-9209; Balanya Roure, Juan Carlos/0000-0001-6008-4718; Martinez Martinez, Jose Miguel/0000-0002-8178-0904</t>
  </si>
  <si>
    <t>10.1130/0091-7613(2000)28&lt;607:AOADSC&gt;2.0.CO;2</t>
  </si>
  <si>
    <t>327YN</t>
  </si>
  <si>
    <t>WOS:000087822200008</t>
  </si>
  <si>
    <t>King, AL; Howard, WR</t>
  </si>
  <si>
    <t>Middle Pleistocene sea-surface temperature change in the southwest Pacific Ocean on orbital and suborbital time scales</t>
  </si>
  <si>
    <t>planktonic foraminifera; paleotemperature; paleoclimate; Southern Ocean; Polar Front; Subtropical Front</t>
  </si>
  <si>
    <t>NORTH-ATLANTIC; NEW-ZEALAND; CLIMATE; CYCLES; ICE; CIRCULATION; OSCILLATIONS; SITE-594; RECORDS; SYSTEM</t>
  </si>
  <si>
    <t>A record of estimated sea surface temperature (SST) change between 575 and 400 ha has been obtained from planktonic foraminifera at Deep Sea Drilling Project Site 594 in the southwest Pacific Ocean. The Site 594 record indicates that SSTs during marine oxygen isotope stage 11 were similar to those of the Holocene, in contrast to suggestions of warmer than Holocene SSTs during stage 11, If these SSTs reflect global conditions, then ice-sheet collapse may not require temperatures warmer than in the Holocene. Millennial-scale oscillations in SST (similar to 3 degrees C) occurred within the stage 12 glacial interval, spaced every similar to 5-10 k.y., on time scales similar to those observed within stage 12 in the North Atlantic The consistency between these records may require global-scale mechanisms capable of producing rapid climate change, as suggested for later Quaternary intervals.</t>
  </si>
  <si>
    <t>Univ Tasmania, Inst Antarctic &amp; So Ocean Studies, Hobart, Tas 7001, Australia; Univ Tasmania, Antarctic Cooperat Res Ctr, Hobart, Tas 7001, Australia</t>
  </si>
  <si>
    <t>King, AL (corresponding author), Univ Tasmania, Inst Antarctic &amp; So Ocean Studies, GPO Box 252-77, Hobart, Tas 7001, Australia.</t>
  </si>
  <si>
    <t>Post, Alexandra/0000-0002-6287-3283</t>
  </si>
  <si>
    <t>10.1130/0091-7613(2000)028&lt;0659:MPSSTC&gt;2.3.CO;2</t>
  </si>
  <si>
    <t>WOS:000087822200021</t>
  </si>
  <si>
    <t>Hirasawa, N; Nakamura, H; Yamanouchi, T</t>
  </si>
  <si>
    <t>Abrupt changes in meteorological conditions observed at an inland Antarctic station in association with wintertime blocking</t>
  </si>
  <si>
    <t>ATMOSPHERIC NET TRANSPORT; WATER-VAPOR; LATENT-HEAT; FLOW; VARIABILITY; FREQUENCY; EDDIES</t>
  </si>
  <si>
    <t>Time evolution of a prominent wintertime blocking event over East Antarctica and the associated drastic changes in weather conditions observed at an inland station are documented. A strong blocking ridge was formed at the leading edge of a quasi-stationary Rossby wavetrain where a wave activity flux emanating from the subtropics was convergent. The ridge pumped up heat and moisture from lower latitudes into inland Antarctica with a strong poleward flow along its upstream flank. The station was situated under this flow just for two days, during which the normal condition with cold and clear weather was markedly disturbed. The flow climbing up the continental slope led to cloud formation above the inland station. Enhanced downward longwave radiation from the clouds and enhanced vertical mixing associated with the record-setting wind speeds resulted in a sudden, drastic increase in surface air temperature and the breakdown of the developed surface inversion layer.</t>
  </si>
  <si>
    <t>Natl Inst Polar Res, Tokyo 1738515, Japan; Univ Tokyo, Dept Earth &amp; Planetary Sci, Tokyo 1130033, Japan</t>
  </si>
  <si>
    <t>Research Organization of Information &amp; Systems (ROIS); National Institute of Polar Research (NIPR) - Japan; University of Tokyo</t>
  </si>
  <si>
    <t>Hirasawa, N (corresponding author), Natl Inst Polar Res, Tokyo 1738515, Japan.</t>
  </si>
  <si>
    <t>Yamanouchi, Takashi/P-2041-2015</t>
  </si>
  <si>
    <t>JUL 1</t>
  </si>
  <si>
    <t>10.1029/1999GL011039</t>
  </si>
  <si>
    <t>331LY</t>
  </si>
  <si>
    <t>WOS:000088021600028</t>
  </si>
  <si>
    <t>Eicken, H; Kolatschek, J; Freitag, J; Lindemann, F; Kassens, H; Dmitrenko, I</t>
  </si>
  <si>
    <t>A key source area and constraints an entrainment for basin-scale sediment transport by Arctic sea ice</t>
  </si>
  <si>
    <t>LAPTEV SEA; OCEAN; CIRCULATION; WATER; MODEL</t>
  </si>
  <si>
    <t>Combining field measurements, remote sensing and numerical modelling, a key site for ice entrainment and basinwide dispersal of sediments by sea ice has been identified near the New Siberian Islands. The total ice-bound sediment export of 18.5 x 10(6) t for an entrainment event documented in 1994/95 is of the same order of magnitude as annual sediment supply to the deep sea sector of the Eurasian Arctic and the Greenland Sea. Satellite imagery and ancillary data indicate that ice advection from this source may play an important role in sedimentation downstream in the Transpolar Drift.</t>
  </si>
  <si>
    <t>Univ Alaska Fairbanks, Inst Geophys, Fairbanks, AK 99775 USA; Alfred Wegener Inst Polar &amp; Marine Res, D-27515 Bremerhaven, Germany; Geomar Res Ctr, D-24148 Kiel, Germany; Arctic &amp; Antarctic Res Inst, St Petersburg 199397, Russia</t>
  </si>
  <si>
    <t>University of Alaska System; University of Alaska Fairbanks; Helmholtz Association; Alfred Wegener Institute, Helmholtz Centre for Polar &amp; Marine Research; Helmholtz Association; GEOMAR Helmholtz Center for Ocean Research Kiel; Arctic &amp; Antarctic Research Institute</t>
  </si>
  <si>
    <t>Eicken, H (corresponding author), Univ Alaska Fairbanks, Inst Geophys, Fairbanks, AK 99775 USA.</t>
  </si>
  <si>
    <t>hajo.eicken@gi.alaska.edu</t>
  </si>
  <si>
    <t>Eicken, Hajo/M-6901-2016</t>
  </si>
  <si>
    <t>Dmitrenko, Igor/0000-0001-8388-7839</t>
  </si>
  <si>
    <t>10.1029/1999GL011132</t>
  </si>
  <si>
    <t>Green Accepted, Green Submitted</t>
  </si>
  <si>
    <t>WOS:000088021600030</t>
  </si>
  <si>
    <t>Bingham, AW; Drinkwater, MR</t>
  </si>
  <si>
    <t>Recent changes in the microwave scattering properties of the Antarctic ice sheet</t>
  </si>
  <si>
    <t>Antarctica; azimuthal anisotropy; backscatter climate change; emission; ice sheet; interannual change; radar; radiometer; scatterometer; seasonal change</t>
  </si>
  <si>
    <t>SAR BACKSCATTER SIGNATURES; APERTURE RADAR DATA; PENINSULA; SNOW; EMISSION; SHELVES</t>
  </si>
  <si>
    <t>Time series, satellite microwave data are used to monitor and quantify changes in the scattering properties of the Antarctic ice sheet. Daily ERS scatterometer (EScat) and Special Sensor Microwave/Imager (SSM/I) image data, acquired since 1992, are analyzed to understand the seasonal and interannual changes over the ice sheet. For regions of the ice sheet where azimuthal modulation is negligible, seasonal cycles are observed in both the EScat (amplitude similar to 0.5 dB) and SSM/I data (amplitude similar to 10 K) These cycles are attributed to seasonal changes in surface temperature. Interannual variability in the time series signatures appears to be associated with accumulation, There is also evidence to suggest that shifts in the wind direction can alter the backscatter through azimuthal modulation. Over the period 1992-97, large trends are observed in the EScat(&lt; -0.3 dB yr(-1)) and SSM/I (&gt;1 K yr(-1)) signatures over several regions in Antarctica. These changes typically occur over ice shelves and at the margins of the ice sheet where previous melt events have occurred, and where accumulation is relatively high (&gt;300 mm yr(-1)). It is likely the large changes result from the successive burial of an efficient scattering layer formed by refreezing after a melt event prior to 1992, There is also evidence to suggest that similarly large changes can be observed in the interior of the ice sheet due to the burial of depth hear layers. In order to monitor long term change in the properties of the Antarctic ice sheet, it is necessary to remove the seasonal cycle from time series microwave data. Such anomaly data can then be used to understand the link between EScat and SSM/I with accumulation and wind shifts.</t>
  </si>
  <si>
    <t>CALTECH, Jet Prop Lab, Pasadena, CA 91109 USA</t>
  </si>
  <si>
    <t>National Aeronautics &amp; Space Administration (NASA); NASA Jet Propulsion Laboratory (JPL); California Institute of Technology</t>
  </si>
  <si>
    <t>Bingham, AW (corresponding author), CALTECH, Jet Prop Lab, 4800 Oak Grove Dr, Pasadena, CA 91109 USA.</t>
  </si>
  <si>
    <t>Drinkwater, Mark/C-2478-2011</t>
  </si>
  <si>
    <t>Drinkwater, Mark/0000-0002-9250-3806</t>
  </si>
  <si>
    <t>345 E 47TH ST, NEW YORK, NY 10017-2394 USA</t>
  </si>
  <si>
    <t>10.1109/36.851765</t>
  </si>
  <si>
    <t>337TM</t>
  </si>
  <si>
    <t>WOS:000088377800007</t>
  </si>
  <si>
    <t>Drinkwater, MR; Liu, X</t>
  </si>
  <si>
    <t>Seasonal to interannual variability in Antarctic sea-ice surface melt</t>
  </si>
  <si>
    <t>Antarctic sea ice; austral summer; ERS; interannual variability; melt onset; melt pond; microwave; NSCAT; radar; radiometer; SSM/I; SAR; scatterometer; seasonal variability</t>
  </si>
  <si>
    <t>WINTER SNOW COVER; WEDDELL SEA; RADAR</t>
  </si>
  <si>
    <t>Satellite remote sensing time series images are used to illustrate the spatial and temporal variability in Antarctic-wide sea-ice surface melting during the austral summer. Combinations of collocated data from the Active Microwave Instrument onboard the ERS-1/2 spacecraft, RadarSat synthetic aperture radar (SAR), and special sensor microwave/imager (SSM/I) passive microwave radiometer are used in characterizing the effects of surface melting on measured values of the normalized backscatter cross-section and brightness temperature, respectively. An algorithm is developed from observed signatures to map interannual variations in the summer season melt onset and the cumulative number of melt days throughout each austral summer from 1992 to 1998, Results indicate that Antarctic sea-ice surface melting is sparse and relatively short-lived, in contrast to the protracted Arctic summer melt season. Regions consistently experiencing melt periods of 15 days or longer duration are focused around the Antarctic Peninsula, primarily in the northwest Weddell and Bellingshausen Seas.</t>
  </si>
  <si>
    <t>European Space Agcy, European Space Res &amp; Technol Ctr, NL-2200 AG Noordwijk, Netherlands; CALTECH, Jet Prop Lab, Pasadena, CA 91109 USA</t>
  </si>
  <si>
    <t>European Space Agency; California Institute of Technology; National Aeronautics &amp; Space Administration (NASA); NASA Jet Propulsion Laboratory (JPL)</t>
  </si>
  <si>
    <t>Drinkwater, MR (corresponding author), European Space Agcy, European Space Res &amp; Technol Ctr, NL-2200 AG Noordwijk, Netherlands.</t>
  </si>
  <si>
    <t>10.1109/36.851767</t>
  </si>
  <si>
    <t>WOS:000088377800009</t>
  </si>
  <si>
    <t>Alekseev, GV; Ryabchenko, VA</t>
  </si>
  <si>
    <t>Model reproduction of the interannual variability of the thermodynamic and hydrologic cycles in the Arctic Basin</t>
  </si>
  <si>
    <t>ICE-OCEAN SYSTEM; NORTH-ATLANTIC; ANOMALIES</t>
  </si>
  <si>
    <t>A series of numerical experiments was performed using the thermodynamic sea-ice-ocean model supplemented by a snow cover description, which was used earlier in [1] to reproduce the seasonal variability of the Arctic Basin. Monthly mean values of the variables for water flows of rivers and the Bering Sea, and the atmosphere (precipitation, cloudiness, air temperature, and air humidity), estimated with the help of the 1951-1990 observational data, as well as climatic values of the variables for the water exchange with deepwater layers of the Atlantic and for other factors were given as external influences on the system. Seasonal dynamics and interannual fluctuation of the variables for the snow-ice cover and the upper layer of the Arctic Basin were reproduced indicating an agreement with available observational data. A considerable growth of the model detrainment of snow, ice, and meltwater from the Arctic Basin was revealed for the 1960s, when an intensive freshening in the northern North Atlantic was observed. It was demonstrated that the fluctuations of this detrainment are controlled mainly by air temperature and precipitation; the variations of salinity of the oceanic upper layer are controlled by the river water inflow as well.</t>
  </si>
  <si>
    <t>Arctic &amp; Antarctic Res Inst, St Petersburg 199397, Russia; Russian Acad Sci, St Petersburg Branch, PP Shirshov Oceanol Inst, St Petersburg 199053, Russia</t>
  </si>
  <si>
    <t>Arctic &amp; Antarctic Research Institute; Russian Academy of Sciences; Shirshov Institute of Oceanology; St. Petersburg Scientific Centre of the Russian Academy of Sciences</t>
  </si>
  <si>
    <t>Alekseev, GV (corresponding author), Arctic &amp; Antarctic Res Inst, Ul Beringa 38, St Petersburg 199397, Russia.</t>
  </si>
  <si>
    <t>Ryabchenko, Vladimir Alexeevich/R-3877-2016</t>
  </si>
  <si>
    <t>Ryabchenko, Vladimir Alexeevich/0000-0003-3909-537X</t>
  </si>
  <si>
    <t>349FC</t>
  </si>
  <si>
    <t>WOS:000089032100006</t>
  </si>
  <si>
    <t>A review of tectonic events in the East Antarctic Shield and their implications for Gondwana and earlier supercontinents</t>
  </si>
  <si>
    <t>JOURNAL OF AFRICAN EARTH SCIENCES</t>
  </si>
  <si>
    <t>10th International Gondwana Conference</t>
  </si>
  <si>
    <t>JUN 28-JUL 04, 1998</t>
  </si>
  <si>
    <t>CAPE TOWN, SOUTH AFRICA</t>
  </si>
  <si>
    <t>DRONNING-MAUD-LAND; CENTRAL TRANSANTARCTIC MOUNTAINS; PAN-AFRICAN METAMORPHISM; PROTEROZOIC MOBILE BELT; NORTHERN VICTORIA-LAND; PRYDZ BAY AREA; PB ZIRCON AGE; U-PB; LARSEMANN-HILLS; SRI-LANKA</t>
  </si>
  <si>
    <t>Late Neoproterozoic to Cambrian tectonism in East Antarctica was widely assumed to have been restricted to the Ross Orogen at the Palaeopacific margin of the Precambrian shield, but it is now clear that two 'Pan-African age' mobile belts cut across the East Antarctic Shield, the Lutzow Helm and Prydz Belts, and these rework, truncate and offset three regions of late Mesoproterozoic to early Neoproterozoic tectonism: the Maud, Rayner and Wilkes Provinces. These three segments were previously assumed to form one single 'Grenville-age' orogen around the coastline, but now appear to represent distinct crustal fragments juxtaposed in the Cambrian. The Lutzow Helm Belt is a continuation of the East African Orogen and developed during closure of the Mozambique Ocean. It is unclear whether the Prydz Belt involved ocean closure or regional-scale transcurrent tectonics, but it does juxtapose numerous terranes with different geological histories, and it seems likely that the East Antarctic Shield behaved as a collage rather than a keystone during the amalgamation of Gondwana. Increasing evidence that East Gondwana underwent significant reorganisation during the Cambrian requires changes to current models for both the assembly of Gondwana and the configuration of the late Mesoproterozoic supercontinent of Rodinia. (C) 2000 Elsevier Science Limited. All rights reserved.</t>
  </si>
  <si>
    <t>Curtin Univ Technol, Tecton Special Res Ctr, Sch Appl Geol, Perth, WA 6845, Australia</t>
  </si>
  <si>
    <t>Curtin Univ Technol, Tecton Special Res Ctr, Sch Appl Geol, GPO Box U1987, Perth, WA 6845, Australia.</t>
  </si>
  <si>
    <t>ianf@lithos.curtin.edu.au</t>
  </si>
  <si>
    <t>1464-343X</t>
  </si>
  <si>
    <t>1879-1956</t>
  </si>
  <si>
    <t>J AFR EARTH SCI</t>
  </si>
  <si>
    <t>J. Afr. Earth Sci.</t>
  </si>
  <si>
    <t>10.1016/S0899-5362(00)00069-5</t>
  </si>
  <si>
    <t>376QG</t>
  </si>
  <si>
    <t>WOS:000165467800002</t>
  </si>
  <si>
    <t>Johnston, ST</t>
  </si>
  <si>
    <t>The Cape Fold Belt and Syntaxis and the rotated Falkland Islands: dextral transpressional tectonics along the southwest margin of Gondwana</t>
  </si>
  <si>
    <t>PALEOGEOGRAPHY; ANTARCTICA</t>
  </si>
  <si>
    <t>Two enigmas concerning the Cape Fold Belt (CFB), part of the Gondwanide Orogen that formerly stretched across southern Gondwana, are (1) its apparent development far-removed (greater than or equal to 1500 km) from the convergent margin of Gondwana; and (2) the origin of the Cape Syntaxis, a 40-80 degrees bend in the strike of the belt that occurs near Cape Town. An additional puzzle is how the Falkland Islands, which are believed to have originally been situated off the southeastern coast of Africa and may have formed the eastern continuation of the CFB, came to be rotated 180 degrees during, or prior to, the break-up of Gondwana. In an attempt to address these enigmas, I review recent developments in the study of the CFB and of the South American, Falkland Islands and Antarctic portions of the Gondwanide Orogen, provide reinterpretations of some data and suggest a new tectonic model. Structural data (orientations relative to an east-west-trending CFB) are consistent with interpretation of the South America and Antarctic portions of the Gondwanide Orogen as northwest-trending dextral transpressional belts. The east-west-trending CFB, including the Falkland Islands, forms an inboard- or left-step within this intracontinental dextral shear zone. Dextral margin-parallel translation of the crustal block outboard of the orogen (extending from the Gondwanide Belt south to the margin of Gondwana) was accommodated by strike-slip deformation in South America and Antarctica, and by convergence and the development of a foreland-verging fold and thrust belt, across the CFB. The Cape Syntaxis, and the partially obscured Port Elizabeth Antitaxis, are oroclinal bends of the CFB that developed in response to continued dextral shear along the Gondwanide Belt. Clockwise rotation of the Falkland islands occurred in two stages: (1) similar to 90 degrees during oroclinal bending (the islands were incorporated in the short east limb of the Port Elizabeth Antitaxis); and (2) &gt; 60 degrees during solid body rotation about the Euler Pole to the Agulhas-Falkland Fracture Zone, a major dextral transform fault that propagated through the hinge region of the Port Elizabeth Antitaxis during break-up of Gondwana. (C) 2000 Elsevier Science Limited. All rights reserved.</t>
  </si>
  <si>
    <t>Univ KwaZulu Natal, Dept Geol, ZA-4000 Durban, South Africa</t>
  </si>
  <si>
    <t>Univ Victoria, Sch Earth &amp; Ocean Sci, POB 3055 STN CSC, Victoria, BC V8W 3P6, Canada.</t>
  </si>
  <si>
    <t>stj@uvic.ca</t>
  </si>
  <si>
    <t>Johnston, Stephen/0000-0002-7384-0890</t>
  </si>
  <si>
    <t>10.1016/S0899-5362(00)00072-5</t>
  </si>
  <si>
    <t>WOS:000165467800005</t>
  </si>
  <si>
    <t>Elliot, DH</t>
  </si>
  <si>
    <t>Stratigraphy of Jurassic pyroclastic rocks in the Transantarctic Mountains</t>
  </si>
  <si>
    <t>LARGE IGNEOUS PROVINCE; AR-40/AR-39 GEOCHRONOLOGY; PHREATOMAGMATIC VOLCANISM; EAST EIFEL; ANTARCTICA; DEPOSITS; AGE</t>
  </si>
  <si>
    <t>Jurassic pyroclastic rocks cap the Antarctic Gondwana sequence and document an important event in the evolution of the continent. The Hanson Formation, which crops out in the central Transantarctic Mountains, consists of ca 240 m of silicic tuffs, tuffaceous sandstones, and subordinate quartzose sandstones of probable Early Jurassic age. It is overlain by basaltic pyroclastic rocks of the Prebble Formation. Similar basaltic rocks also crop out in Victoria Land and constitute the Mawson and Exposure Hill Formations. These basaltic pyroclastic rocks and the overlying Kirkpatrick Basalt lavas are Middle Jurassic. The pyroclastic rocks comprise thick tuff-breccias with minor lapilli-tuffs and tuffs; sequences are as much as 400 m thick. These silicic and basaltic pyroclastic rocks record the transition from foreland basin fluvial sedimentation of the Antarctic Gondwana sequence to an extensional tectonic regime associated with flood basalts and Gondwana break-up. (C) 2000 Elsevier Science Limited. All rights reserved.</t>
  </si>
  <si>
    <t>Ohio State Univ, Dept Geol Sci, Columbus, OH 43210 USA</t>
  </si>
  <si>
    <t>University System of Ohio; Ohio State University</t>
  </si>
  <si>
    <t>Ohio State Univ, Dept Geol Sci, Columbus, OH 43210 USA.</t>
  </si>
  <si>
    <t>elliot.1@osu.edu</t>
  </si>
  <si>
    <t>10.1016/S0899-5362(00)00074-9</t>
  </si>
  <si>
    <t>WOS:000165467800007</t>
  </si>
  <si>
    <t>Dingle, RV; Lavelle, M</t>
  </si>
  <si>
    <t>Antarctic Peninsula Late Cretaceous-Early Cenozoic palaeoenvironments and Gondwana palaeogeographies</t>
  </si>
  <si>
    <t>JAMES-ROSS-ISLAND; SOUTHERN HIGH-LATITUDES; SEYMOUR-ISLAND; MESETA FORMATION; NEW-ZEALAND; EOCENE; STRATIGRAPHY; CLIMATE; PRODUCTIVITY; CRYOSPHERE</t>
  </si>
  <si>
    <t>A review is made of stratigraphical, geochemical and palaeogeographical data from the northern Antarctic Peninsula and the Southern Ocean for Late Mesozoic-Early Cenozoic times. Clay mineral and S/total organic C ratios are used to re-assess earlier scenarios, and it is suggested that eight climatic episodes affected the northern Antarctic Peninsula between Late Aptian and Palaeogene times. Evolving palaeogeographies in southern Gondwana allowed the connection of the inter-continental western Weddell Basin to the proto-Indian Ocean during Albian to Cenomanian times, and it is suggested that this caused an initial cooling of ambient temperatures in the northern Antarctic Peninsula area. This situation altered when the South Atlantic seaway was opened to equatorial regions, producing a Campanian warm episode. Throughout this period, the climate was humid and non-seasonal (ever-wet) and the adjacent seas were dominated by mineral-walled phytoplankton. A Maastrichtian to Mid-Palaeocene cool period is postulated following the establishment of more-polar ocean circulation routes along the southern edge of the Pacific Basin, and the climate became seasonally humid with phytoplankton production switching to organic-walled dominant. The global Palaeogene climatic optimum was a warm, ever-wet episode but as it waned from Mid-Eocene times, a further, relatively short, period of marked seasonality is recognised. Later, Eocene climates were again ever-wet and became progressively cooler. The Late Eocene-Early Oligocene opening of the Tasman Sea and Drake Passage seaways caused cold conditions on Seymour Island, followed rapidly by the earliest glacial sediments on King George Island and the establishment of mineral-walled phytoplankton dominance in the seas. (C) 2000 Elsevier Science Limited. All rights reserved.</t>
  </si>
  <si>
    <t>Univ Copenhagen, Inst Geol, DK-1350 Copenhagen, Denmark</t>
  </si>
  <si>
    <t>mlavelle@esc.cam.ac.uk</t>
  </si>
  <si>
    <t>10.1016/S0899-5362(00)00075-0</t>
  </si>
  <si>
    <t>WOS:000165467800008</t>
  </si>
  <si>
    <t>Egorova, LV; Vovk, VY; Troshichev, OA</t>
  </si>
  <si>
    <t>Influence of variations of the cosmic rays on atmospheric pressure and temperature in the Southern geomagnetic pole region</t>
  </si>
  <si>
    <t>Forbush decrease of galactic cosmic rays; solar proton events; atmospheric temperature; pressure and winds</t>
  </si>
  <si>
    <t>SOLAR PROTON EVENTS; TRANSPARENCY VARIATIONS; FORBUSH-DECREASES; DISTURBANCES; VARIABILITY; CLOUDINESS; CONNECTION; FLARES</t>
  </si>
  <si>
    <t>Daily data of pressure, temperature, and wind observations at Antarctic station Vostok in 1981-1991 have been analyzed with regard to the cosmic-rays variations. Case study and statistical treatment of the data provide the following results. The beginning of the Forbush decrease of galactic cosmic rays is followed within one day by significant warming of the atmosphere (about 10 degrees) at altitudes h &lt; 6-7 km in the near-pole region. The duration of warming is about 1 day, then the atmosphere quickly reverted to previous temperature conditions. The Forbush decrease is accompanied by reduction of atmospheric pressure at all altitudes below 20 km, the magnitude of reduction being maximal at higher altitudes. The reduction of atmospheric pressure can develop synchronously with the Forbush decrease or can be delayed for 1-5 days depending on the preceding trends in the meteorological processes, occurrence of the solar proton spikes, and intensity of the Forbush decrease. Spikes of solar cosmic rays affect within 0-2 days the increase of atmospheric pressure at altitudes of 10-15 km. The troposphere warming and reduction of the pressure in low stratosphere and troposphere is followed within 0-6 days by reconstruction of the whole wind system above the near-pole region. (C) 2000 Elsevier Science Ltd. All rights reserved.</t>
  </si>
  <si>
    <t>10.1016/S1364-6826(00)00080-8</t>
  </si>
  <si>
    <t>356XT</t>
  </si>
  <si>
    <t>WOS:000089470000001</t>
  </si>
  <si>
    <t>White, WB</t>
  </si>
  <si>
    <t>Influence of the Antarctic circumpolar wave on Australian precipitation from 1958 to 1997</t>
  </si>
  <si>
    <t>TEMPERATURE; OCEAN; ANOMALIES</t>
  </si>
  <si>
    <t>Year-to-year changes are found in Australian precipitation (APP) covarying with those in sea surface temperature (SST) and troposphere moisture flux (MF) over the three oceans surrounding Australia for 40 yr from 1958 to 1997. Australia's wet (dry) years are associated with warm (cool) SST anomalies surrounding Australia and convergent (divergent) MF anomalies directly overhead. Differences in APP (SST) between wet and dry years can reach 0.75 m (1.2 degrees C) in northeast Australia (subtropical Indian Ocean). Wet (dry) years often occur during La Nina (El Nino), but significant differences in covarying SST, ME and APP anomalies from one El Nino to the next are found, indicating that regional climate changes also influence APP. Covarying SST and MF anomalies on basin space scales and interannual timescales are found to take 2-3 yr to propagate eastward from Africa to Australia. This propagation occurs in association with the Antarctic Circumpolar Wave (ACW) in the Southern Ocean, the north branch of the ACW in the Indian ocean, and the global El Nino-Southern Oscillation wave in the tropical ocean. A statistical climate prediction system based upon the slow eastward propagation of SST anomalies and their nearly one-to-one relationship with APP anomalies is constructed, yielding significant hindcast skill for predicting interannual APP anomalies at lead rimes of 1 and 2 yr. Best hindcast skill for the extratropical portion of Australia derives from the ACW south of Australia and the north branch of the ACW west of Australia. Eastward propagation of SST anomalies in these two oceanic domains is capable of predicting more than 50% of the total interannual variance over Victoria and New South Wales and over Western Australia poleward of 20 degrees S over the 40-yr record. This percentage is much better than expected from chance or persistence, demonstrating the importance of the ACW upon year-to-year changes in APP at these latitudes.</t>
  </si>
  <si>
    <t>Univ Calif San Diego, Scripps Inst Oceanog, La Jolla, CA 92093 USA</t>
  </si>
  <si>
    <t>White, WB (corresponding author), Univ Calif San Diego, Scripps Inst Oceanog, 9500 Gilman Dr, La Jolla, CA 92093 USA.</t>
  </si>
  <si>
    <t>wbwhite@ucsd.edu</t>
  </si>
  <si>
    <t>10.1175/1520-0442(2000)013&lt;2125:IOTACW&gt;2.0.CO;2</t>
  </si>
  <si>
    <t>339QR</t>
  </si>
  <si>
    <t>WOS:000088489900001</t>
  </si>
  <si>
    <t>Butchart, N; Austin, J; Knight, JR; Scaife, AA; Gallani, ML</t>
  </si>
  <si>
    <t>The response of the stratospheric climate to projected changes in the concentrations of well-mixed greenhouse gases from 1992 to 2051</t>
  </si>
  <si>
    <t>QUASI-BIENNIAL OSCILLATION; GENERAL-CIRCULATION MODEL; ANTARCTIC OZONE HOLE; OFFICE UNIFIED MODEL; MIDDLE ATMOSPHERE; NORTHERN-HEMISPHERE; SULFATE AEROSOLS; CLOUD FORMATION; INTERANNUAL VARIABILITY; POLAR VORTEX</t>
  </si>
  <si>
    <t>Results are presented from two 60-yr integrations of the troposphere-stratosphere configuration of the U.K. Met. Office's Unified Model. The integrations were set up identically, apart from different initial conditions, which, nonetheless, were both representative of the early 1990s. Radiative heating rates were calculated using the IS92A projected concentrations of the well-mixed greenhouse gases (GHGs) given by the Intergovernmental Panel on Climate Change, but changes in stratospheric ozone and water vapor were not included. Sea surface conditions were taken from a separate coupled ocean-atmosphere experiment. Both integrations reproduced the familiar pattern of tropospheric warming and a stratospheric cooling increasing with height to about -1.4 K per decade at 1 mb. There was good agreement in the trends apart from in the polar upper stratosphere and, to a greater extent. the polar lower-to-middle stratosphere, where there is significant interannual variability during the winter months. Even after decadal smoothing, the trends in the northern winter were still overshadowed by the variability resulting from the planetary wave forcing from the troposphere. In general, the decadal variability of the Northern Hemisphere stratosphere was not a manifestation of a uniform change throughout each winter but, as with other models, there was a change in the frequency of occurrence of sudden stratospheric warmings. Unlike previous studies, the different results from the two simulations confirm the change in frequency of warmings was due to internal atmospheric variability and not the prescribed changes in GHG concentrations or sea surface conditions. In the southern winter stratosphere the Aux of wave activity from the troposphere increased, but any additional dynamical heating was more than offset by the extra radiative cooling from the growing total GHG concentration. Consequently the polar vortex became more stable, with the spring breakdown delayed by 1-2 weeks by the 2050s. Polar stratospheric cloud (PSC) amounts inferred from the predicted temperatures increased in both hemispheres, especially in the early winter. In the Southern Hemisphere, the region of PSC formation expanded both upward and equatorward in response to the temperature trend.</t>
  </si>
  <si>
    <t>Meteorol Off, Climinate Div, Stratospher Proc Res, Bracknell RG12 2SZ, Berks, England</t>
  </si>
  <si>
    <t>Meteorol Off, Climinate Div, Stratospher Proc Res, London Rd, Bracknell RG12 2SZ, Berks, England.</t>
  </si>
  <si>
    <t>nbutchart@meto.gov.uk</t>
  </si>
  <si>
    <t>10.1175/1520-0442(2000)013&lt;2142:TROTSC&gt;2.0.CO;2</t>
  </si>
  <si>
    <t>WOS:000088489900002</t>
  </si>
  <si>
    <t>Jarman, SN; Elliott, NG</t>
  </si>
  <si>
    <t>DNA evidence for morphological and cryptic Cenozoic speciations in the Anaspididae, 'living fossils' from the Triassic</t>
  </si>
  <si>
    <t>JOURNAL OF EVOLUTIONARY BIOLOGY</t>
  </si>
  <si>
    <t>Anaspidacea; Anaspides; Crustacea; DNA; molecular clock; phylogeny; ribosomal</t>
  </si>
  <si>
    <t>MAXIMUM-LIKELIHOOD; EVOLUTION; STRATEGIES; CRABS; TREES; BOOTSTRAP</t>
  </si>
  <si>
    <t>The speciation history of Anaspides tasmaniae (Crustacea: Malacostraca) and its close relatives (family Anaspididae) was studied by phylogenetic and molecular clock analyses of mitochondrial DNA sequences. The phylogenetic analyses revealed that the Anaspides morphotype conceals at least three cryptic species belonging to different parts of its range. The occurrence of multiple cryptic phylogenetic species within one morphological type shows that substantial genetic evolution has occurred independently of morphological evolution. Molecular clock dating of the speciation events that generated both the cryptic and the morphological species of Anaspididae indicated continuous speciation within this group since the Palaeocene similar to 55 million years ago. This relatively constant rate of recent morphological and cryptic speciation within the Anaspididae suggests that the speciation rate in this group does not correlate with its low extinction rate or morphological conservatism.</t>
  </si>
  <si>
    <t>Univ Tasmania, Inst Antarctic &amp; So Ocean Studies, Hobart, Tas 7001, Australia; CSIRO, Hobart, Tas, Australia</t>
  </si>
  <si>
    <t>Jarman, Simon/H-9265-2016</t>
  </si>
  <si>
    <t>1010-061X</t>
  </si>
  <si>
    <t>1420-9101</t>
  </si>
  <si>
    <t>J EVOLUTION BIOL</t>
  </si>
  <si>
    <t>J. Evol. Biol.</t>
  </si>
  <si>
    <t>Ecology; Evolutionary Biology; Genetics &amp; Heredity</t>
  </si>
  <si>
    <t>Environmental Sciences &amp; Ecology; Evolutionary Biology; Genetics &amp; Heredity</t>
  </si>
  <si>
    <t>328HF</t>
  </si>
  <si>
    <t>WOS:000087844000007</t>
  </si>
  <si>
    <t>Logue, JA; De Vries, AL; Fodor, E; Cossins, AR</t>
  </si>
  <si>
    <t>Lipid compositional correlates of temperature-adaptive interspecific differences in membrane physical structure</t>
  </si>
  <si>
    <t>temperature adaptation; brain; membrane; fluorescence anisotropy; DPH; phosphatidylcholine; phosphatidylethanolamine; fatty acid unsaturation; molecular species</t>
  </si>
  <si>
    <t>FATTY-ACID COMPOSITION; BIOLOGICAL-MEMBRANES; HOMEOVISCOUS ADAPTATION; BASOLATERAL MEMBRANES; BRAIN MEMBRANES; BRUSH-BORDER; ORDER; CARP; PHOSPHOLIPIDS; RESPONSES</t>
  </si>
  <si>
    <t>Teleost species from cold environments possess more disordered brain synaptic membranes than species from warm habitats, thereby providing equivalent physical structures at their respective habitat temperatures. We have related this adaptive interspecific biophysical response to the fatty acid composition of brain membranes from 17 teleost species obtained from Antarctic, temperate and semi-tropical waters, as well as from rat and turkey as representative homeotherms. Cold-adaptive increases in membrane disorder (determined by fluorescence anisotropy with diphenylhexatriene as probe) were correlated with large and linear increases in the proportion of unsaturated fatty acids, from 35 to 60% in phosphatidylcholine (PtdCho) and from 55 to 85% in phosphatidylethanolamine (PtdEth), For PtdCho, the cold-adaptive increase in unsaturation was associated almost entirely with increased proportions (from 7 to 40%) of polyunsaturated fatty acids (PUFAs), with monounsaturates (MUFAs) providing an approximately constant proportion in all species. Exactly opposite effects were evident for phosphatidylethanolamine (PtdEth), Thus, the compositional adaptation for PtdCho occurred largely by exchange of polyunsaturated and monounsaturated fatty acid in the sn-2 position, whilst for PtdEth it involved exchanges between saturates and monounsaturates at the sn-l position. This difference may be related to the different molecular shapes of the two phosphoglycerides and the need to maintain the balance between bilayer-stabilising and -destabilising tendencies. This comparative study provides a more comprehensive view of the compositional adjustments that accompany and perhaps account for temperature-adaptive interspecific differences in membrane physical structure.</t>
  </si>
  <si>
    <t>Univ Liverpool, Integrat Biol Res Div, Sch Biol Sci, Liverpool L69 3BX, Merseyside, England; Univ Illinois, Dept Mol &amp; Integrat Physiol, Urbana, IL 61801 USA</t>
  </si>
  <si>
    <t>University of Liverpool; University of Illinois System; University of Illinois Urbana-Champaign</t>
  </si>
  <si>
    <t>Cossins, AR (corresponding author), Univ Liverpool, Integrat Biol Res Div, Sch Biol Sci, POB 147, Liverpool L69 3BX, Merseyside, England.</t>
  </si>
  <si>
    <t>Fodor, Elfrieda/0000-0002-5695-6162; Cossins, Andrew/0000-0002-0813-5212</t>
  </si>
  <si>
    <t>340EN</t>
  </si>
  <si>
    <t>WOS:000088520300003</t>
  </si>
  <si>
    <t>Randall, DE; Curtis, ML; Millar, IL</t>
  </si>
  <si>
    <t>A new Late Middle Cambrian paleomagnetic pole for the Ellsworth Mountains, Antarctica</t>
  </si>
  <si>
    <t>WEST ANTARCTICA; TECTONIC IMPLICATIONS; EAST ANTARCTICA; PACIFIC MARGIN; INDIAN-OCEAN; GONDWANALAND; PB; HYPOTHESIS; ORDOVICIAN; EVOLUTION</t>
  </si>
  <si>
    <t>A paleomagnetic study of the late Middle to possibly early Late Cambrian Liberty Hills Formation in the Ellsworth Mountains, Antarctica, reveals a stable magnetization with positive fold and reversal tests. The paleopole is based on 16 sites from volcanic and sedimentary rocks and lies at lat 7.3 degrees N and long 326.3 degrees E (A(95) = 6.0 degrees). The new paleomagnetic data support the view that the Ellsworth Mountains are part of a microplate-the Ellsworth-Whitmore Mountains crustal block-that rotated independently of the main Gondwana continental blocks during breakup. The Liberty Hills pole differs from both previous poles recovered from Cambrian rocks in the Ellsworth Mountains and from the available Gondwana reference pole data. Our pole indicates a more northerly prebreakup position for the Ellsworth Mountains than previously suggested, contradicting the overwhelming geologic evidence for a prebreakup position close to southern Africa. The reasons for this are uncertain, but we suggest that problems with the Gondwana apparent polar wander path may be important. More well constrained, early Paleozoic paleomagnetic data are required from the Ellsworth Mountains and the Gondwana continents ii the data are to constrain further the Middle-Late Cambrian location of the Ellsworth-Whitmore Mountains block.</t>
  </si>
  <si>
    <t>Darren.Randall@earth.ox.ac.uk</t>
  </si>
  <si>
    <t>Millar, Ian L/F-1541-2010</t>
  </si>
  <si>
    <t>10.1086/314408</t>
  </si>
  <si>
    <t>334NK</t>
  </si>
  <si>
    <t>WOS:000088192400003</t>
  </si>
  <si>
    <t>Rodger, CJ; Clilverd, MA; Yearby, KH; Smith, AJ</t>
  </si>
  <si>
    <t>Is magnetospheric line radiation man-made?</t>
  </si>
  <si>
    <t>GEOMAGNETICALLY-INDUCED CURRENTS; LOW-ALTITUDE SATELLITE; HARMONIC RADIATION; POWER-SYSTEM; EARTHS MAGNETOSPHERE; VLF EMISSIONS; ANTARCTICA; WHISTLERS; STORMS</t>
  </si>
  <si>
    <t>Magnetospheric line radiation (MLR) events are relatively narrowband VLF signals (similar to 30 Hz) that sometimes drift in frequency and that have been observed in both ground-based and satellite data sets. We present the result of a survey undertaken on the basis of measurements made of MLR events observed at Halley station, Antarctica (75 degrees 35'S, 26 degrees 33'W, L approximate to 4.3) during June, July, September, and December 1995, specifically to examine whether there is a link between MLR and power line harmonic radiation (PLHR). We find that (1) the diurnal variation of MLR occurrence at Halley does not resemble the expected load pattern in the industrialized conjugate hemisphere; (2) MLR does not show the pronounced east-west asymmetry in the distribution of arrival directions which would be the case if it was linked ro North American electrical load; (3) MLR does not show an immediate association with geomagnetic activity, as would be expected from increases in PLHR levels produced by geomagnetically-induced currents saturating transformers; and (4) there is no evidence of a Sunday, weekend, or other 7-day cycle in the occurrence of MLR. Taken together these results strongly suggest that MLR is a natural VLF emission and is not primarily caused by PLHR. In addition, Halley data have been examined to determine whether the intensity of all types of VLF emissions are influenced by PLHR. We find that (1) there is no significant difference between weekdays and weekends over the frequency range 0.5-9.3 kHz and (2) there is no consistent change in wave intensity that is observed around any of the major North American holiday periods. It is concluded that PLHR is not a significant influence on geospace as viewed from Halley.</t>
  </si>
  <si>
    <t>British Antarctic Survey, Div Phys Sci, Cambridge CB3 0ET, England; Univ Sheffield, Sheffield S1 3JD, S Yorkshire, England</t>
  </si>
  <si>
    <t>Univ Otago, Dept Phys, POB 56, Dunedin, New Zealand.</t>
  </si>
  <si>
    <t>crodger@physics.otago.ac.nz; M.Clilverd@bas.ac.uk; K.Yearby@sheffield.ac.uk; A.J.Smith@bas.ac.uk</t>
  </si>
  <si>
    <t>A7</t>
  </si>
  <si>
    <t>10.1029/1999JA000413</t>
  </si>
  <si>
    <t>330KW</t>
  </si>
  <si>
    <t>WOS:000087962100022</t>
  </si>
  <si>
    <t>Lannoo, MJ; Eastman, JT</t>
  </si>
  <si>
    <t>Nervous and sensory system correlates of an epibenthic evolutionary radiation in Antarctic notothenioid fishes, genus Trematomus (Perciformes; Nototheniidae)</t>
  </si>
  <si>
    <t>JOURNAL OF MORPHOLOGY</t>
  </si>
  <si>
    <t>brain morphology; adaptive radiation; pelagization; interspecific variation; buoyancy adaptations</t>
  </si>
  <si>
    <t>LATERAL-LINE; WEDDELL SEA; PAGOTHENIA-BORCHGREVINKI; DEMERSAL FISH; MORPHOLOGY; BERNACCHII; BRAIN; FAUNA</t>
  </si>
  <si>
    <t>The perciform suborder Notothenioidei consists of 120 species, with 94 confined to the Antarctic Region of the Southern Ocean. On the Antarctic shelf, this phyletic radiation has been accompanied by a substantial morphological and ecological diversification towards a pelagic existence. For example, the primarily benthic genus Trematomus contains an epibenthic radiation that includes T. loennbergii, T. lepidorhinus, and T. eulepidotus. By comparing these epibenthic species with three congeneric benthic species (T. scotti, T. pennellii, and T. bernachii) we tested three null hypotheses regarding brain variation in Antarctic trematomids: 1) that there is no difference in brain morphology among the six species; 2) that phylogenetic and ecological factors do not influence brain morphology; and 3) that peripheral sensory structures do not influence brain morphology. We rejected each of these hypotheses, leading us to conclude that Trematomus brains vary interspecifically, between benthic and epibenthic species, and with a species' depth distribution. Further, we conclude that brain variation is correlated with differences in peripheral sensory systems and motor activity. Specifically, epibenthic Trematomus have larger percentages of their brain volume devoted to lateral line mechanoreceptive and motor (cerebellar) structures. Species living at greater depths have low ratios of cones:rods in the retina and larger olfactory structures. J. Morphol. 245:67-79, 2000. (C) 2000 Wiley-Liss, Inc.</t>
  </si>
  <si>
    <t>Ball State Univ, Indiana Univ Sch Med, Muncie Ctr Med Educ, Muncie, IN 47306 USA; Ohio Univ, Coll Osteopath Med, Dept Biomed Sci, Athens, OH 45701 USA</t>
  </si>
  <si>
    <t>Ball State University; Indiana University Health; IU Health Ball Memorial Hospital; University System of Ohio; Ohio University</t>
  </si>
  <si>
    <t>Lannoo, MJ (corresponding author), Ball State Univ, Indiana Univ Sch Med, Muncie Ctr Med Educ, Bldg MB 209, Muncie, IN 47306 USA.</t>
  </si>
  <si>
    <t>mlannoo@gw.bsu.edu</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</si>
  <si>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</si>
  <si>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</si>
  <si>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</si>
  <si>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</si>
  <si>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</si>
  <si>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</si>
  <si>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10.1002/1097-4687(200007)245:1&lt;67::AID-JMOR5&gt;3.0.CO;2-W</t>
  </si>
  <si>
    <t>Anatomy &amp; Morphology</t>
  </si>
  <si>
    <t>330NV</t>
  </si>
  <si>
    <t>WOS:000087968900005</t>
  </si>
  <si>
    <t>Bachle, LA; Smith, DD; Petzel, D</t>
  </si>
  <si>
    <t>Isolation and characterization of insulin from the Brockmann body of Dissostichus mawsoni, an Antarctic teleost fish</t>
  </si>
  <si>
    <t>JOURNAL OF PEPTIDE RESEARCH</t>
  </si>
  <si>
    <t>amino acid composition; Brockmann body; Dissostichus mawsoni; Edman degradation; notothenioids</t>
  </si>
  <si>
    <t>GLUCAGON; PURIFICATION; ACCLIMATION; LUNGFISH; PEPTIDE</t>
  </si>
  <si>
    <t>The Brockmann body of fish synthesizes and secretes insulin. The Brockmann body of Antarctic fish has been described anatomically and shown to contain insulin immunoreactive sites, however, the primary structure of an Antarctic fish insulin has yet to be reported. Insulin was isolated from the Brockmann bodies of the Antarctic perciform teleost, Dissostichus mawsoni. The peptide was purified to homogeneity by gel filtration and reversed-phase HPLC. Insulin-containing fractions were identified by radioimmunoassay using antisera raised against porcine insulin. Electrospray ionization-mass spectrometry determined the mass of the isolated product to be 5725.27 a.m.u. The amino acid composition and primary structure were determined for the pyridylethylated A- and B-chains. The amino acid sequences of the A chain and B chain were H-Gly-lle-Val-Glu-Gln-Cys-Cys-His-Gln-Pro(10)-Cys-Asn-lle-Phe- Asp-Leu-Gn-Asn-Tyr-Cys(20)-Asn-OH and -Ala-Pro-Gly-Pro-Gln-His-Leu-Cys-Gly-Ser(10)-His-Leu-Val-Asp-Ala-Leu-Tyr-Leu-Val-Cys(20)-Gly-Glu-Arg-Gly-Phe-Phe-Tyr-Asn-Pro-Lys(30)-OH, respectively. The primary structure of insulin from Antarctic fish is compared with known structures of insulin from other vertebrates.</t>
  </si>
  <si>
    <t>Creighton Univ, Sch Med, Dept Biomed Sci, Omaha, NE 68178 USA</t>
  </si>
  <si>
    <t>Creighton University</t>
  </si>
  <si>
    <t>Petzel, D (corresponding author), Creighton Univ, Sch Med, Dept Biomed Sci, 2500 Calif Plaza, Omaha, NE 68178 USA.</t>
  </si>
  <si>
    <t>1397-002X</t>
  </si>
  <si>
    <t>J PEPT RES</t>
  </si>
  <si>
    <t>J. Pept. Res.</t>
  </si>
  <si>
    <t>10.1034/j.1399-3011.2000.00742.x</t>
  </si>
  <si>
    <t>334ZA</t>
  </si>
  <si>
    <t>WOS:000088215700006</t>
  </si>
  <si>
    <t>Olbers, D; Wolff, JO; Völker, C</t>
  </si>
  <si>
    <t>Eddy fluxes and second-order moment balances for nonhomogeneous quasigeostrophic turbulence in wind-driven zonal flows</t>
  </si>
  <si>
    <t>OCEAN CIRCULATION MODELS; QUASI-GEOSTROPHIC MODEL; BETA-PLANE CHANNEL; LARGE-SCALE EDDIES; GENERAL-CIRCULATION; PARAMETERIZATION; INSTABILITY; TRANSPORTS; VELOCITY; CURRENTS</t>
  </si>
  <si>
    <t>The balances of momentum and second-order moments (potential enstrophy, energies, and potential vorticity flux) of wind-driven zonal flow, using a suite of numerical eddy resolving experiments in a two-layer channel, governed by quasigeostrophic dynamics, are investigated. The flow regime in these experiments does nor satisfy the usual scaling of quasigeostrophic large-scale dynamics: relative vorticity is a significant contribution to the quasigeostrophic potential vorticity (QPV) in the deep layer and the lateral Reynolds stress divergence is comparable to the interfacial form stress in the top layer. The balances of second-order moments confirm that the eddy-induced fluxes of QPV and layer thickness are downgradient but significant contributions of triple moments occur. Existing parameterizations and scaling laws of the eddy fluxes of QPV and layer thickness are tested against data from the numerical experiments and it is shown that the usual downgradient forms of parameterization with diffusivities chosen from theories of baroclinic instability or homogeneous beta-plane turbulence fail in the present how regime. The authors suggest that the discrepancy is a manifestation of the strong constraint of the fluxes by the balance of momentum in the steady state. A consistent parameterization for the eddy-induced flux of QPV is derived from the balance of this moment. The flux is produced by a gradient term, whereas the ageostrophic pressure-QPV covariance is the major destruction, with small but significant contributions from a triple moment divergence. The approximated balance of the QPV flux, &lt;(v'q')over bar&gt;/T = &lt;(v'(2))over bar&gt;partial derivative (q) over bar/partial derivative y - partial derivative/partial derivative y&lt;(v'(2)q')over bar&gt;. shows that the QPV flux is not completely diffusive (i.e., downgradient the mean potential vorticity) but that there is an additional transport that relates to the eddy Aux of the flux of QPV itself. A parameterization of this triple term by the mean relative vorticity is proposed and the resulting new parameterization of the QPV Aux is tested in a simple coarse model of the zonal flow.</t>
  </si>
  <si>
    <t>Alfred Wegener Inst Polar &amp; Marine Res, D-27515 Bremerhaven, Germany; Antarctic CRC, Hobart, Tas, Australia; Univ Kiel, Inst Meereskunde, D-2300 Kiel, Germany</t>
  </si>
  <si>
    <t>Helmholtz Association; Alfred Wegener Institute, Helmholtz Centre for Polar &amp; Marine Research; University of Kiel</t>
  </si>
  <si>
    <t>Olbers, D (corresponding author), Alfred Wegener Inst Polar &amp; Marine Res, Postfach 120161, D-27515 Bremerhaven, Germany.</t>
  </si>
  <si>
    <t>dolbers@awi-bremerhaven.de</t>
  </si>
  <si>
    <t>Voelker, Christoph/I-7891-2012; Wolff, Joerg-Olaf/F-8248-2010</t>
  </si>
  <si>
    <t>Voelker, Christoph/0000-0003-3032-114X; Wolff, Joerg-Olaf/0000-0001-7037-7688</t>
  </si>
  <si>
    <t>10.1175/1520-0485(2000)030&lt;1645:EFASOM&gt;2.0.CO;2</t>
  </si>
  <si>
    <t>341GY</t>
  </si>
  <si>
    <t>WOS:000088583700008</t>
  </si>
  <si>
    <t>Dickensheets, DL; Wynn-Williams, DD; Edwards, HGM; Schoen, C; Crowder, C; Newton, EM</t>
  </si>
  <si>
    <t>A novel miniature confocal microscope/Raman spectrometer system for biomolecular analysis on future Mars missions after Antarctic trials</t>
  </si>
  <si>
    <t>JOURNAL OF RAMAN SPECTROSCOPY</t>
  </si>
  <si>
    <t>RAMAN</t>
  </si>
  <si>
    <t>Biomolecules, such as the productive and protective pigments of photosynthetic organisms, are good biomarkers in extreme Antarctic deserts as analogues of early Mars, Laser Raman technology at long wavelengths which minimize fluorescence is ideal for remote analysis of biomolecules in situ, We report Raman spectra obtained with a prototype miniature laser-Raman spectrometer/confocal microscope (specification &lt; 1 kg) under development for a Mars lander and evaluation in Antarctic deserts, We compare the efficiency of its 852 nm laser/CCD detector system with an optimal bench-top 1064 nm FT Raman spectrometer which excels with biomolecules. Using a yellow Antarctic lichen, Acarospora chlorophana, we show good correlation between both instruments restricted to the 460-1350 cm(-1) wavenumber range. Copyright (C) 2000 John Wiley &amp; Sons, Ltd.</t>
  </si>
  <si>
    <t>British Antarctic Survey, NERC, Cambridge CB3 0ET, England; Montana State Univ, Dept Elect &amp; Comp Engn, Bozeman, MT 59717 USA; Univ Bradford, Bradford BD7 1DP, W Yorkshire, England; Detect Limit Inc, Laramie, WY 82070 USA</t>
  </si>
  <si>
    <t>UK Research &amp; Innovation (UKRI); Natural Environment Research Council (NERC); NERC British Antarctic Survey; Montana State University System; Montana State University Bozeman; University of Bradford</t>
  </si>
  <si>
    <t>Wynn-Williams, DD (corresponding author), British Antarctic Survey, NERC, High Cross,Madingley Rd, Cambridge CB3 0ET, England.</t>
  </si>
  <si>
    <t>0377-0486</t>
  </si>
  <si>
    <t>J RAMAN SPECTROSC</t>
  </si>
  <si>
    <t>J. Raman Spectrosc.</t>
  </si>
  <si>
    <t>10.1002/1097-4555(200007)31:7&lt;633::AID-JRS620&gt;3.0.CO;2-R</t>
  </si>
  <si>
    <t>Spectroscopy</t>
  </si>
  <si>
    <t>345CA</t>
  </si>
  <si>
    <t>WOS:000088796800014</t>
  </si>
  <si>
    <t>Melnikova, I; Domnin, P; Mikhailov, V; Radionov, V</t>
  </si>
  <si>
    <t>Optical cloud characteristics derived from measurements of reflected or transmitted solar radiation</t>
  </si>
  <si>
    <t>JOURNAL OF THE ATMOSPHERIC SCIENCES</t>
  </si>
  <si>
    <t>EFFECTIVE PARTICLE RADIUS; AIRCRAFT MEASUREMENTS; THICKNESS; ABSORPTION; SCATTERING</t>
  </si>
  <si>
    <t>An extended and horizontally homogeneous cloud of a large optical thickness and a weak absorption compared with scattering is considered. The strict analytical formulas for determination of a single-scattering albedo and an optical thickness of this cloud are derived from the strict solution of the radiation transfer equation. These formulas allow retrieving the optical cloud parameters from the reflected or transmitted spectral radiation measurements. A detailed error analysis of the proposed method is carried out. The obtained formulas are applied to the ground-based spectral measurements of the transmitted radiance. The spectral values of the single-scattering albedo and the optical thickness are obtained.</t>
  </si>
  <si>
    <t>Russian Acad Sci, Res Ctr Ecolog Safety, Lab Global Climate Changes, St Petersburg 197110, Russia; St Petersburg State Univ, Inst Phys, St Petersburg 198904, Russia; Res Co Petrosyntes, St Petersburg, Russia; Arctic &amp; Antarctic Res Inst, St Petersburg 199226, Russia</t>
  </si>
  <si>
    <t>Russian Academy of Sciences; Saint Petersburg State University; Arctic &amp; Antarctic Research Institute</t>
  </si>
  <si>
    <t>Melnikova, I (corresponding author), Russian Acad Sci, Res Ctr Ecolog Safety, Lab Global Climate Changes, Korpusnaya St 18, St Petersburg 197110, Russia.</t>
  </si>
  <si>
    <t>Radionov, Vladimir F./O-3038-2017; Melnikova, Irina/D-2810-2014</t>
  </si>
  <si>
    <t>Melnikova, Irina/0000-0001-7469-6678</t>
  </si>
  <si>
    <t>0022-4928</t>
  </si>
  <si>
    <t>J ATMOS SCI</t>
  </si>
  <si>
    <t>J. Atmos. Sci.</t>
  </si>
  <si>
    <t>10.1175/1520-0469(2000)057&lt;2135:OCCDFM&gt;2.0.CO;2</t>
  </si>
  <si>
    <t>329HR</t>
  </si>
  <si>
    <t>WOS:000087902000011</t>
  </si>
  <si>
    <t>Alves, FL; Smichowski, P; Farías, S; Marrero, J; Arruda, MAZ</t>
  </si>
  <si>
    <t>Direct analysis of Antarctic krill by slurry sampling:: Determination of copper, iron, manganese and zinc by flame atomic absorption spectrometry</t>
  </si>
  <si>
    <t>JOURNAL OF THE BRAZILIAN CHEMICAL SOCIETY</t>
  </si>
  <si>
    <t>Antarctic krill; slurry; FAAS; ICP-AES</t>
  </si>
  <si>
    <t>EMISSION-SPECTROMETRY; WHOLE COAL; LEAD; ATOMIZATION; SEDIMENTS; NEBULIZER; ALUMINUM; CHROMIUM; MODIFIER; SOILS</t>
  </si>
  <si>
    <t>Slurry sampling in combination with flame atomic absorption spectrometry was employed for the direct determination of four essential trace elements, namely Cu, Fe, Mn and Zn in Antarctic krill. The effect of instrumental operating conditions and slurry sampling preparation on the analytical signal was investigated. For the determination of Cu, Fe and Zn, samples were suspended in a solution containing 2 mel L-1 HNO3. In the case of Mn, 4 mel L-1 I HNO3 was necessary for the preparation of the slurry. The precision between sample replicates was better than 5%. The method was applied to the direct determination of Cu, Fe, Mn and Zn in Antarctic krill samples using aqueous reference solutions to prepare the calibration curves. The results obtained were in good agreement with those achieved by FAAS and ICP-AES after microwave-assisted wet digestion of the krill samples. The detection limits were 4.5, 1.0, 4.9 and 8.4 mu g L-1 for Cu, Zn, Mn and Fe, respectively.</t>
  </si>
  <si>
    <t>Univ Estadual Campinas, Dept Quim Analit, BR-13083970 Campinas, SP, Brazil; Comis Nacl Energia Atom, Unidad Actividad Quim, Ctr Atom Constituyentes, RA-1429 Buenos Aires, DF, Argentina; Comis Nacl Energia Atom, Unidad Actividad Geol, Ctr Atom Ezeiza, RA-1429 Buenos Aires, DF, Argentina</t>
  </si>
  <si>
    <t>Universidade Estadual de Campinas; Comision Nacional de Energia Atomica (CNEA); Comision Nacional de Energia Atomica (CNEA)</t>
  </si>
  <si>
    <t>Univ Estadual Campinas, Dept Quim Analit, CP 6154, BR-13083970 Campinas, SP, Brazil.</t>
  </si>
  <si>
    <t>zezzi@iqm.unicamp.br</t>
  </si>
  <si>
    <t>Arruda, Marco Aurélio Zezzi/W-9203-2019; Arruda, Marco A Z/C-3705-2015</t>
  </si>
  <si>
    <t>Arruda, Marco A Z/0000-0002-7058-3390</t>
  </si>
  <si>
    <t>SOC BRASILEIRA QUIMICA</t>
  </si>
  <si>
    <t>SAO PAULO</t>
  </si>
  <si>
    <t>CAIXA POSTAL 26037, 05599-970 SAO PAULO, BRAZIL</t>
  </si>
  <si>
    <t>0103-5053</t>
  </si>
  <si>
    <t>1678-4790</t>
  </si>
  <si>
    <t>J BRAZIL CHEM SOC</t>
  </si>
  <si>
    <t>J. Braz. Chem. Soc.</t>
  </si>
  <si>
    <t>10.1590/S0103-50532000000400007</t>
  </si>
  <si>
    <t>354NY</t>
  </si>
  <si>
    <t>WOS:000089337600007</t>
  </si>
  <si>
    <t>Sinha, R; Chatterjee, A</t>
  </si>
  <si>
    <t>Mineralogy of lacustrine sediments in the Schirmacher Range Area, Eastern Antarctica</t>
  </si>
  <si>
    <t>JOURNAL OF THE GEOLOGICAL SOCIETY OF INDIA</t>
  </si>
  <si>
    <t>mineralogy; sedimentology; clay minerals; Schirmacher hills; Antarctic lakes</t>
  </si>
  <si>
    <t>A mineralogical study of the lacustrine sediment cores from lakes and varve deposits of the lake shore in the Schirmacher Range of East Antarctica is presented. Field observations and laboratory analysis indicate quartz and feldspar as principal allogenic phases derived from local crystalline rocks surrounding the lake basin. Illite, chlorite and minor amount of mixed-layered minerals in the lacustrine sediments are interpreted to be products of weathering in the lake catchment. In general, the clay mineralogy of sediment cores and varve sediments is indicative of low-hydrolyzing depositional environment under high latitudes and subtle weathering.</t>
  </si>
  <si>
    <t>Indian Inst Technol, Dept Civil Engn, Engn Geol Grp, Kanpur 208016, Uttar Pradesh, India; BHP Min India Pvt Ltd, Udaipur 313001, India</t>
  </si>
  <si>
    <t>Indian Institute of Technology System (IIT System); Indian Institute of Technology (IIT) - Kanpur</t>
  </si>
  <si>
    <t>Sinha, R (corresponding author), Indian Inst Technol, Dept Civil Engn, Engn Geol Grp, Kanpur 208016, Uttar Pradesh, India.</t>
  </si>
  <si>
    <t>SINHA, RAJIV/AAC-6250-2022</t>
  </si>
  <si>
    <t>GEOLOGICAL SOC INDIA</t>
  </si>
  <si>
    <t>#64 12TH CROSS, BASAPPA LAYOUT P B 1922, GAVIPURAM PO, BANGALORE 560019, INDIA</t>
  </si>
  <si>
    <t>0016-7622</t>
  </si>
  <si>
    <t>J GEOL SOC INDIA</t>
  </si>
  <si>
    <t>J. Geol. Soc. India</t>
  </si>
  <si>
    <t>331GX</t>
  </si>
  <si>
    <t>WOS:000088010900004</t>
  </si>
  <si>
    <t>Maxwell, LM</t>
  </si>
  <si>
    <t>Leading at the edge: Leadership lessons from the extraordinary saga of Shackleton's Antarctic Expedition.</t>
  </si>
  <si>
    <t>Univ Richmond, Richmond, VA 23173 USA</t>
  </si>
  <si>
    <t>University of Richmond</t>
  </si>
  <si>
    <t>Maxwell, LM (corresponding author), Univ Richmond, Richmond, VA 23173 USA.</t>
  </si>
  <si>
    <t>334UY</t>
  </si>
  <si>
    <t>WOS:000088205100213</t>
  </si>
  <si>
    <t>Saito, H; Kotani, Y</t>
  </si>
  <si>
    <t>Lipids of four boreal species of calanoid copepods: origin of monoene fats of marine animals at higher trophic levels in the grazing food chain in the subarctic ocean ecosystem</t>
  </si>
  <si>
    <t>chemoecology; monoene; copepod; triacylglycerol; marine grazing food chain; marine lipid</t>
  </si>
  <si>
    <t>DOCOSAHEXAENOIC ACID CONTENT; ROUGHY HOPLOSTETHUS-ATLANTICUS; ALBACORE THUNNUS-ALALUNGA; SUB-ANTARCTIC COPEPOD; WAX ESTERS; EGG-PRODUCTION; FRAM STRAIT; NEOCALANUS-TONSUS; BRITISH-COLUMBIA; SEASONAL-CHANGES</t>
  </si>
  <si>
    <t>The total lipids of four boreal species of calanoid copepod, Neocalanus cristatus K-ROYER, Neocalanus flemingeri M-ILLER, Eucalanus bungii G(IESBRECHT), and Metridia okhotensis B-RODSKY caught in the northwestern Pacific Ocean were analyzed. The major components in the lipid classes were wax esters (WE) and triacylglycerols (TAG), and the WE were grouped according to their polarity into two types of esters (less polar WE I and more polar WE II). TAG were the dominant acyl neutral lipid (72.7-88.2%: 83.6 +/- 6.6%) in the two stages of E. bungii, and WE (WE I as a major component, 52.5-56.2%: 54.8 +/- 1.6%; WE II as a minor component, 31.6-40.0%: 34.8 +/- 3.9%) were found to be the dominant lipids of the other three species (genera Neocalanus and Metridia). The fatty acid and alcohol profiles of the WE I in the two species (N. cristatus and N. flemingeri) were very similar to each other, and these acids and alcohols mainly consisted of saturated (14:0 and 16:0) and monoenoic fats (20:1 and 22:1). Those of the WE II mainly consisted of polyunsaturated fatty acids (PUFA, 16:4n - 3, 18:3n - 3, 20:5n - 3, and 32:6n - 3) and saturated and monoenoic alcohols (16:0, 20:1, and 22:1). The majority of the fats in the lipids of Me. okhotensis, which slightly differed from other species, were short-chain fatty acids (16:1 and 18:1 in WE I) and alcohols (12:0, 14:0, and 16:0 in WE II). In the total fatty acids and alcohols of the WE, the monoene fats were the dominant components (mean calculated by the respective percentage of fatty acids and alcohols in that of total fats: 38.4 +/- 0.7% for the fatty acids; 71.3 +/- 1.8% for the fatty alcohols). Most of the TAG contained in the lipids of E. bungii had various components that were similar to those of other marine organisms, such as all of the pelagic fishes, and the mean level of total monoene fats was 35% (36.1 +/- 0.2%) of the total fatty acids. The major fatty components of the WE and TAG fats in all of the species were monoenoic fats. and their mean levels reached 51.5 +/- 0.6% of the total fatty acids and alcohols. We suggest that the lipids of these copepods may be a source of the monoene fats of other higher marine animals, such as lantern fish, herring, capelin, and saury, which actively prey on these copepods and accumulate high levels of these monoene fats. (C) 2000 Elsevier Science B.V. All rights reserved.</t>
  </si>
  <si>
    <t>Minist Agr Forestry &amp; Fisheries, Natl Res Inst Fisheries Sci, Lab Lipid Chem, Kanazawa Ku, Yokohama, Kanagawa 2368648, Japan</t>
  </si>
  <si>
    <t>Ministry of Agriculture Forestry &amp; Fisheries - Japan; Japan Fisheries Research &amp; Education Agency (FRA)</t>
  </si>
  <si>
    <t>Minist Agr Forestry &amp; Fisheries, Natl Res Inst Fisheries Sci, Lab Lipid Chem, Kanazawa Ku, 2-12-4 Fuku-ura, Yokohama, Kanagawa 2368648, Japan.</t>
  </si>
  <si>
    <t>hiroakis@nrifs.affrc.go.jp</t>
  </si>
  <si>
    <t>10.1016/S0304-4203(00)00041-4</t>
  </si>
  <si>
    <t>336YQ</t>
  </si>
  <si>
    <t>WOS:000088330900004</t>
  </si>
  <si>
    <t>Valsangkar, AB; Ambre, NV</t>
  </si>
  <si>
    <t>Distribution of grain size and clay minerals in sediments from the INDEX area, Central Indian Basin</t>
  </si>
  <si>
    <t>MARINE GEORESOURCES &amp; GEOTECHNOLOGY</t>
  </si>
  <si>
    <t>Central Indian Basin; clay minerals; lithology; particle size; sediments</t>
  </si>
  <si>
    <t>OCEAN BASIN; FRACTIONS; SEA</t>
  </si>
  <si>
    <t>The granulometry of 21 box core sediments from five selected sites in the Central Indian Basin (CIB) have been studied to understand the sediment size characteristics in the Pioneer area before the benthic disturbance experiment. The sediments are predominantly clayey silt. Statistical parameters were determined to understand the control and variations in the grain size. The mean grain size (M(z)phi) ranged from 7.0 to 8.6 for the surface and from 6.6 to 8.6 for the subsurface sediments, indicating deposition of very fine fractions during the Neogene period. The sediments were pool ly sorted as revealed from the higher a, values (2.7 to 2.9). Higher and negative values of skewness (SKI indicated a winnowing action of prevailing currents in the area. Average kurtosis (K-G) values for the surface (0.4 to 0.8) and subsurface (0.5 to 1.2) showed that sediments were very platykurtic and leptokurtic. Clay mineralogical studies showed that smectite had a wider range (from 6% to 55%) and decreased southward because of its terrigenous origin. The terigenous influence of the sediments could be documented as far as 12 degrees S. Smectite and kaolinite increased eastward and chlorite decreased southward. This observation positively con-elated with the mean current direction in the area. However the influence of Antarctic Bottom Water (AABW) in the area could be predicted from the southward increase in chlorite content.</t>
  </si>
  <si>
    <t>Natl Inst Oceanog, Dona Paula 403004, Goa, India</t>
  </si>
  <si>
    <t>Valsangkar, AB (corresponding author), Natl Inst Oceanog, Dona Paula 403004, Goa, India.</t>
  </si>
  <si>
    <t>TAYLOR &amp; FRANCIS INC</t>
  </si>
  <si>
    <t>325 CHESTNUT ST, SUITE 800, PHILADELPHIA, PA 19106 USA</t>
  </si>
  <si>
    <t>1064-119X</t>
  </si>
  <si>
    <t>MAR GEORESOUR GEOTEC</t>
  </si>
  <si>
    <t>Mar. Geores. Geotechnol.</t>
  </si>
  <si>
    <t>JUL-SEP</t>
  </si>
  <si>
    <t>10.1080/10641190009353787</t>
  </si>
  <si>
    <t>Engineering, Ocean; Engineering, Geological; Oceanography; Mining &amp; Mineral Processing</t>
  </si>
  <si>
    <t>Engineering; Oceanography; Mining &amp; Mineral Processing</t>
  </si>
  <si>
    <t>361GK</t>
  </si>
  <si>
    <t>WOS:000089715200002</t>
  </si>
  <si>
    <t>Mogoe, T; Suzuki, T; Asada, M; Fukui, Y; Ishikawa, H; Ohsumi, S</t>
  </si>
  <si>
    <t>Functional reduction of the southern minke whale (Balaenoptera acutorostrata) testis during the feeding season</t>
  </si>
  <si>
    <t>minke whale; Balaenoptera acutorostrata; season; testis; steroid hormone; LH; spermatogenesis</t>
  </si>
  <si>
    <t>FOLLICULAR OOCYTES; TESTOSTERONE; SPERMATOZOA; VIABILITY; SERUM</t>
  </si>
  <si>
    <t>Seasonal variation in reproductive activity in the male southern minke whales was investigated. The animals were killed and collected during the feeding season (December-March) in the Antarctic Ocean in the eastern part of Area III (35 degrees E-70 degrees E, south of 60 degrees S) and Area TV (70 degrees E-130 degrees E, south of 60 degrees S). Blood samples, testes, epididymides, and vasa deferentia were collected from 62 males, which had testes weighing over 400 g each. Changes in testicular morphology and plasma testosterone, estradiol-l-ia and LH concentrations measured by enzyme immunoassay were investigated. Reduction of testicular function associated with different capture periods was found in the summer season. From December to March, body length and body weight remained steady, but decreases in testicular weight, epididymal weight, and testicular volume were found in February. During the same period, plasma testosterone concentration also declined. A significant decrease in the number of germ cells continued during the period of feeding season. An increase in area of seminiferous tubule tended to proceed in a number of germ cells. These changes reflected the percentage of spermatozoa in the vasa deferentia; in particular, motile spermatozoa were observed in December. Based on morphological observation, spermatogenesis had also declined. These results indicate regulation of testicular function by testosterone, as in terrestrial mammals. A gradual decrease of testicular function occurred during December-January.</t>
  </si>
  <si>
    <t>Obihiro Univ Agr &amp; Vet Med, Lab Anim Genet &amp; Reprod, Obihiro, Hokkaido 0808555, Japan; Inst Cetacean Res, Tokyo 1040055, Japan</t>
  </si>
  <si>
    <t>Obihiro University of Agriculture &amp; Veterinary Medicine</t>
  </si>
  <si>
    <t>Mogoe, T (corresponding author), Obihiro Univ Agr &amp; Vet Med, Lab Anim Genet &amp; Reprod, Obihiro, Hokkaido 0808555, Japan.</t>
  </si>
  <si>
    <t>SOC MARINE MAMMALOGY</t>
  </si>
  <si>
    <t>10.1111/j.1748-7692.2000.tb00951.x</t>
  </si>
  <si>
    <t>333BD</t>
  </si>
  <si>
    <t>WOS:000088108100004</t>
  </si>
  <si>
    <t>Taylor, S; Lever, JH; Harvey, RP</t>
  </si>
  <si>
    <t>Numbers, types, and compositions of an unbiased collection of cosmic spherules</t>
  </si>
  <si>
    <t>DEEP-SEA SEDIMENTS; EARLY SOLAR NEBULA; ANTARCTIC ICE; EVAPORATION METAMORPHISM; CHEMICAL-COMPOSITION; MASS-DISTRIBUTION; ACCRETION RATE; BLUE ICE; DUST; MICROMETEORITES</t>
  </si>
  <si>
    <t>Micrometeorites collected from the bottom of the South Pole water well (SPWW) may represent a complete, well-preserved sample of the cosmic dust that accreted on Earth from 1100-1500 A.D. We classified 1588 cosmic spherules in the size range 50-800 mu m. The collection has 41% barred olivine spherules, 17% glass spheres, 12% cryptocrystalline spherules, 11% porphyritic olivine spherules, 12% relic-grain-bearing spherules, 3% scoriaceous spherules, 2% I-type spherules, 1% Ca-Al-Ti-rich (CAT) spherules, and 1% G-type spherules. We also found bubbly glass spherules, spherules with glass caps, and ones with sulfide coatings-particles that are absent from other collections. A classification sequence of the stony spherules (scoriaceous, relic-grain-bearing, porphyritic, barred olivine, cryptocrystalline, glass, and CAT) is consistent with progressive heating and evaporation of Fe from chondritic materials. The modern-day accretion rate and size distribution measured at the SPWW can account for the stony spherules present in deep-sea collection through preferential dissolution of glass and small stony spherules. However, weathering alone cannot account for the high accretion rate of I-type spherules determined for two deep-sea collections. The SPWW collection provides data to constrain models of atmospheric-entry heating and to assess the effects of terrestrial weathering.</t>
  </si>
  <si>
    <t>USA, Cold Reg Res &amp; Engn Lab, Hanover, NH 03755 USA; Case Western Reserve Univ, Cleveland, OH 44106 USA</t>
  </si>
  <si>
    <t>United States Department of Defense; United States Army; U.S. Army Corps of Engineers; U.S. Army Engineer Research &amp; Development Center (ERDC); Cold Regions Research &amp; Engineering Laboratory (CRREL); University System of Ohio; Case Western Reserve University</t>
  </si>
  <si>
    <t>Taylor, S (corresponding author), USA, Cold Reg Res &amp; Engn Lab, 72 Lyme Rd, Hanover, NH 03755 USA.</t>
  </si>
  <si>
    <t>staylor@crrel.usace.army.mil</t>
  </si>
  <si>
    <t>10.1111/j.1945-5100.2000.tb01450.x</t>
  </si>
  <si>
    <t>341YC</t>
  </si>
  <si>
    <t>WOS:000088617700005</t>
  </si>
  <si>
    <t>Mokos, JL; Franke, L; Scherer, P; Schultz, L; Lipschutz, ME</t>
  </si>
  <si>
    <t>Cosmogenic radionuclides and noble gases in Antarctic H chondrites with high and normal natural thermoluminescence levels</t>
  </si>
  <si>
    <t>TERRESTRIAL AGES; PRODUCTION-RATES; DATA COMPILATION; EXPOSURE AGES; METEORITES; NUCLIDES; IRRADIATION; METEOROIDS; SAMPLES; HISTORY</t>
  </si>
  <si>
    <t>We report noble gas data for 37 H chondrites collected from the Allan Hills by EUROMET in the 1988-1989 field season. Among these are 16 specimens with high levels (&gt;100 krad) of natural thermoluminescence (NTL), originally interpreted as signaling their derivation from a single meteoroid with an orbit that became Earth-crossing similar to 100 ka ago. One of these 16 is an H3 chondrite with a cosmic-ray exposure age of similar to 33 Ma and clearly represents a separate fall. The other 15 H4-6 chondrites derive from three separate meteoroids, each of which is represented by a five or six member group. These groups have mean exposure ages of 3.7, 4.1, and 6.6 Ma: the middle-group members all contain solar Ne. The two younger groups also seem to each include a few H chondrites with normal NTL levels. Measurements of cosmogenic Be-10 (1.5 Ma), Al-26 (710 ka), and Cl-36 (301 ka) in 14 of the high-NTL chondrites indicate that all reflect a simple irradiation history. In contrast, many of a different (38 member) randomly selected suite of Antarctic H chondrites seem to have different cosmic-ray irradiation histories. The 3.7 and 6.6 Ma groups from the 37 member Allan Hills suite come from about 5-30 and about 5-10 cm depths in 80-125 and 60-125 cm radius meteoroids, respectively.</t>
  </si>
  <si>
    <t>Purdue Univ, Dept Chem, W Lafayette, IN 47907 USA; Max Planck Inst Chem, Otto Hahn Inst, D-55020 Mainz, Germany</t>
  </si>
  <si>
    <t>Purdue University System; Purdue University; Max Planck Society</t>
  </si>
  <si>
    <t>Lipschutz, ME (corresponding author), Purdue Univ, Dept Chem, W Lafayette, IN 47907 USA.</t>
  </si>
  <si>
    <t>10.1111/j.1945-5100.2000.tb01455.x</t>
  </si>
  <si>
    <t>WOS:000088617700010</t>
  </si>
  <si>
    <t>Akridge, JMC; Benoit, PH; Sears, DWG</t>
  </si>
  <si>
    <t>Terrestrial age measurements using natural thermoluminescence of a drained zone under the fusion crust of Antarctic ordinary chondrites</t>
  </si>
  <si>
    <t>H-CHONDRITES; METEORITES; LUNAR; C-14; SAMPLES</t>
  </si>
  <si>
    <t>Miono et al. (1990) and Miono and Nakanishi (1994) have proposed that the build-up of natural thermoluminescence (TL) in a drained layer directly below the meteorite fusion crust can be used to determine terrestrial ages of meteorites in the 40 to 200 ka range. We have measured the natural TL of the drained layer of 15 meteorites. The data indicate that this technique could be used to determine terrestrial ages of meteorites with ages &lt;200 ka, after which TL equilibrium is reached. Comparison of TL build-up with terrestrial ages for a suite of Antarctic meteorites suggests that the meteorites have been exposed to temperatures of 0 to 5 degrees C. The close correspondence between natural TL levels and surface exposure TL growth curves suggest that Allan Hills meteorites with ages &lt;200 ka have spent st significant portion of their terrestrial history exposed on the ice surface, rather than being buried in the ice sheet. The technique is, however, sensitive to thermal history; and, for Antarctic meteorites with terrestrial ages &lt;200 ka, natural TL of the drained zone largely reflects exposure on the ice surface.</t>
  </si>
  <si>
    <t>Univ Arkansas, Dept Chem &amp; Biochem, Cosmochem Grp, Fayetteville, AR 72701 USA</t>
  </si>
  <si>
    <t>Benoit, PH (corresponding author), Univ Arkansas, Dept Chem &amp; Biochem, Cosmochem Grp, Fayetteville, AR 72701 USA.</t>
  </si>
  <si>
    <t>10.1111/j.1945-5100.2000.tb01470.x</t>
  </si>
  <si>
    <t>WOS:000088617700025</t>
  </si>
  <si>
    <t>García-Martínez, J; Rodríguez-Valera, F</t>
  </si>
  <si>
    <t>Microdiversity of uncultured marine prokaryotes:: the SAR11 cluster and the marine Archaea of Group I</t>
  </si>
  <si>
    <t>MOLECULAR ECOLOGY</t>
  </si>
  <si>
    <t>16S rDNA; 16S-23S rDNA spacer; marine archaea; marine assemblages; microbial diversity; SAR11</t>
  </si>
  <si>
    <t>16S RIBOSOMAL-RNA; SPACER REGION; PHYLOGENETIC-RELATIONSHIPS; CENARCHAEUM-SYMBIOSUM; VERTICAL-DISTRIBUTION; MOLECULAR PHYLOGENY; MICROBIAL DIVERSITY; AGROBACTERIUM-VITIS; PLANKTONIC ARCHAEA; TEMPORAL VARIATION</t>
  </si>
  <si>
    <t>The SAR11 cluster and the Group I of marine Archaea represent probably the best two examples of uncultured marine prokaryotes of widespread occurrence. To study their microdiversity and distribution, a total of 81 and 48 clones, respectively, were sequenced from Mediterranean and Antarctic waters at different locations and depths. The DNA regions chosen for the analysis were the last third, approximately, of the 16S rRNA gene and the 16S-23S intergenic spacer (also known as internal transcribed spacer [ITS]). There was a high concordance in both, even with the extremely variable ITS, where potential probes have been proposed for the identification and isolation of these micro-organisms. In terms of community structure, our results show that although depth-related factors seem to be predominant in the final associations of the clones, geography also plays a significant role. A major group of surface-associated sequences was found in both SAR11 and marine Archaea. In both cases this group was relatively homogeneous containing little diversity in terms of sequence, while sequences retrieved from deep samples and some surface clones contained much more heterogeneity. As a whole, both groups of prokaryotes seem to fall within the limits of well-defined taxonomic units.</t>
  </si>
  <si>
    <t>Univ Miguel Hernandez, Div Microbiol, Alicante 03550, Spain</t>
  </si>
  <si>
    <t>Rodríguez-Valera, F (corresponding author), Univ Miguel Hernandez, Div Microbiol, Campus San Juan,Carretera Valencia Km 87,Apartado, Alicante 03550, Spain.</t>
  </si>
  <si>
    <t>Rodriguez-Valera, Francisco/M-2782-2013; García-Martínez, Jesús/K-6557-2014</t>
  </si>
  <si>
    <t>Rodriguez-Valera, Francisco/0000-0002-9809-2059; García-Martínez, Jesús/0000-0002-8149-8052</t>
  </si>
  <si>
    <t>0962-1083</t>
  </si>
  <si>
    <t>MOL ECOL</t>
  </si>
  <si>
    <t>Mol. Ecol.</t>
  </si>
  <si>
    <t>10.1046/j.1365-294x.2000.00953.x</t>
  </si>
  <si>
    <t>341FA</t>
  </si>
  <si>
    <t>WOS:000088579300010</t>
  </si>
  <si>
    <t>Dillane, E; Galvin, P; Coughlan, J; Rodhouse, PGK; Cross, TF</t>
  </si>
  <si>
    <t>Polymorphic variable number of tandem repeat (VNTR) loci in the ommastrephid squid, Illex coindetii and Todaropsis eblanae</t>
  </si>
  <si>
    <t>Illex; Ommastrephidae; population genetics; squid; Todaropsis; VNTR</t>
  </si>
  <si>
    <t>ATLANTIC; DNA</t>
  </si>
  <si>
    <t>Natl Univ Ireland Univ Coll Cork, Aquaculture Dev Ctr, Cork, Ireland; British Antarctic Survey, Cambridge CB3 0ET, England</t>
  </si>
  <si>
    <t>Cross, TF (corresponding author), Natl Univ Ireland Univ Coll Cork, Aquaculture Dev Ctr, Lee Maltings,Prospect Row, Cork, Ireland.</t>
  </si>
  <si>
    <t>Galvin, Paul/G-7542-2016</t>
  </si>
  <si>
    <t>Galvin, Paul/0000-0002-7890-0493</t>
  </si>
  <si>
    <t>10.1046/j.1365-294x.2000.00939-7.x</t>
  </si>
  <si>
    <t>WOS:000088579300021</t>
  </si>
  <si>
    <t>Mikami, H; Mukai, T; Iida, K</t>
  </si>
  <si>
    <t>Measurements of density and sound speed contrasts for estimating krill target strength using theoretical scattering models</t>
  </si>
  <si>
    <t>NIPPON SUISAN GAKKAISHI</t>
  </si>
  <si>
    <t>Japanese</t>
  </si>
  <si>
    <t>ANTARCTIC KRILL; ZOOPLANKTON; ORIENTATION</t>
  </si>
  <si>
    <t>In recent years, acoustic technology has been extensively used for estimating krill abundance. This acoustic assessment is required for precise estimate of target strength (TS) of a krill. However, prediction of the target strength from the theoretical scattering models is generally dependent on the swimming angle, the density and sound speed contrasts between krill and seawater. In these parameters, the density contrasts and sound speed contrasts are known to change during the year. In this study, the seasonal variations of the specific density and sound speed contrasts of Euphausia pacifica are presented. The specific densities of E. pacifica were measured in a series of saline or glycerol solutions of different densities. The measurements of the sound speed were performed using T-shaped velocimeter with two transducers mounted at the ends of the horizontal tube. The specific densities of E. pacifica changed about 1% with season. The sound speed contrasts also varied about 3% with season. These seasonal changes yielded difference about 5 dB in target strength of E. pacifica calculated from a straight cylinder model.</t>
  </si>
  <si>
    <t>Hokkaido Univ, Fac Fisheries, Minato Ku, Hakodate, Hokkaido 0418611, Japan</t>
  </si>
  <si>
    <t>Hokkaido University</t>
  </si>
  <si>
    <t>Mikami, H (corresponding author), Hokkaido Univ, Fac Fisheries, Minato Ku, Hakodate, Hokkaido 0418611, Japan.</t>
  </si>
  <si>
    <t>Mukai, Tohru/F-9143-2012</t>
  </si>
  <si>
    <t>JAPANESE SOC FISHERIES SCIENCE</t>
  </si>
  <si>
    <t>C/O TOKYO UNIV FISHERIES, KONAN 4, MINATO, TOKYO, 108-8477, JAPAN</t>
  </si>
  <si>
    <t>0021-5392</t>
  </si>
  <si>
    <t>NIPPON SUISAN GAKK</t>
  </si>
  <si>
    <t>Nippon Suisan Gakkaishi</t>
  </si>
  <si>
    <t>350ZM</t>
  </si>
  <si>
    <t>WOS:000089131600015</t>
  </si>
  <si>
    <t>Pozdynin, VD</t>
  </si>
  <si>
    <t>Small-scale turbulence in the cross sections of the antarctic circumpolar current</t>
  </si>
  <si>
    <t>On January 12-15 and February 18-26, 1983, hydrological surveys for studying the structure of the Antarctic circumpolar current were carried out over a polygon centered at 44 degrees S and 70 degrees E. The program of the surveys included measurements of the vertical profiles of temperature, salinity, density, and Brunt-Vasala frequency, as well as the vertical gradients of current velocity in the water layers mainly 1-5 m thick with the use of autonomous mooring stations. The probabilities of generation of small-scale turbulence in the depth range from 30 to 500 m calculated from the data of the surveys and contour lines of these probabilities were plotted in seven cross sections of the current. Distribution functions of the number of turbulized layers simultaneously arranged along the same vertical were calculated in the depth range from 30 to 500 m.</t>
  </si>
  <si>
    <t>Russian Acad Sci, Shirshov Inst Oceanol, Moscow, Russia</t>
  </si>
  <si>
    <t>Pozdynin, VD (corresponding author), Russian Acad Sci, Shirshov Inst Oceanol, Moscow, Russia.</t>
  </si>
  <si>
    <t>349MH</t>
  </si>
  <si>
    <t>WOS:000089048500002</t>
  </si>
  <si>
    <t>Dmitrenko, OB</t>
  </si>
  <si>
    <t>Biogeography of the Southern Ocean during the neogene derived from nanoplankton</t>
  </si>
  <si>
    <t>In this study, the data on calcareous nanoplankton From the Quaternary sediments of the sites drilled by D/Vs Glomar Challenger and Joides Resolution in the Southern Ocean were used. More than 20 areals of different species allowed us to compile a scheme of biogeographic zoning for two time intervals (Early Pleistocene and Late Pleistocene-Holocene). Criteria for identification are elaborated and paleoecological groups, on the basis of which the Polar (Antarctic), Subpolar (Subantarctic), Moderate (Notal), and Subtropical zones were established, are presented. Their changes during the Quaternary show a cooling of the climate in individual regions of the Southern Ocean from the Early to the Late Pleistocene.</t>
  </si>
  <si>
    <t>Dmitrenko, OB (corresponding author), Russian Acad Sci, Shirshov Inst Oceanol, Moscow, Russia.</t>
  </si>
  <si>
    <t>WOS:000089048500020</t>
  </si>
  <si>
    <t>Frati, F; Dell'Ampio, E</t>
  </si>
  <si>
    <t>Molecular phylogeny of three subfamilies of the Neanuridae (Insecta, Collembola) and the position of the antarctic species Friesea grisea Schaffer.</t>
  </si>
  <si>
    <t>PEDOBIOLOGIA</t>
  </si>
  <si>
    <t>Vth International Seminar on Apterygota</t>
  </si>
  <si>
    <t>CORDOBA, ARGENTINA</t>
  </si>
  <si>
    <t>Collembola; Neanuridae; phylogeny; COII; 28S rRNA; Friesea grisea</t>
  </si>
  <si>
    <t>DROSOPHILA-MELANOGASTER; MITOCHONDRIAL-DNA; EVOLUTION; SEQUENCES; LIKELIHOOD; RATES; TREES; GENE</t>
  </si>
  <si>
    <t>The nuclear 28S rRNA and the mitochondrial COII gene were used to establish phylogenetic relationships among species of the family Neanuridae, with special emphasis on species of the subfamily Neanurinae. Phylogenetic analysis was conducted using genetic distances, parsimony and likelihood methods. The D3-D5 fragment of the rRNA gene was very conserved, both in sequence and in secondary structure features. This fragment supplied little information on relationships at this level. The phylogenetic reconstruction based on 1st and 2nd codon positions of the COII gene was partly in accordance with morphological data, but it was discordant for the placement of some species. Relationships among the subfamilies Frieseinae, represented by the antarctic species Friesea grisea, Pseudachorutinae and Neanurinae were uncertain. The subfamily Neanurinae and its tribes Neanurini and Paleonurini were shown as monophyletic taxa. Relationships between three species of the genus Bilobella were in accordance with morphological and biochemical data. Relationships between genera within the Neanurini were more controversial. In accordance with morphological hypotheses, a basal position of Thaumanura was suggested, but the molecular data placed Neanuru muscorum in a derived position in sharp contrast with morphological evidence, a close relationship was suggested between Deutonura conjuncta, Cansilianura malatestai and Lathriopyga longiseta. The disagreement between molecular and morphological data suggests that one or both data sets might be affected by a certain degree of homoplasy and that these data should be interpreted with caution in phylogenetic reconstructions.</t>
  </si>
  <si>
    <t>Univ Siena, Dept Evolutionary Biol, I-53100 Siena, Italy</t>
  </si>
  <si>
    <t>Frati, F (corresponding author), Univ Siena, Dept Evolutionary Biol, Via PA Mattioli 4, I-53100 Siena, Italy.</t>
  </si>
  <si>
    <t>GUSTAV FISCHER VERLAG</t>
  </si>
  <si>
    <t>VILLENGANG 2, D-07745 JENA, GERMANY</t>
  </si>
  <si>
    <t>0031-4056</t>
  </si>
  <si>
    <t>Pedobiologia</t>
  </si>
  <si>
    <t>10.1078/S0031-4056(04)70054-2</t>
  </si>
  <si>
    <t>Ecology; Soil Science</t>
  </si>
  <si>
    <t>Environmental Sciences &amp; Ecology; Agriculture</t>
  </si>
  <si>
    <t>341EC</t>
  </si>
  <si>
    <t>WOS:000088577200016</t>
  </si>
  <si>
    <t>Huot, Y; Jeffrey, WH; Davis, RF; Cullen, JJ</t>
  </si>
  <si>
    <t>Damage to DNA in bacterioplankton: A model of damage by ultraviolet radiation and its repair as influenced by vertical mixing</t>
  </si>
  <si>
    <t>DISSOLVED ORGANIC-MATTER; PYRIMIDINE DIMER REPAIR; MIXED-LAYER PHOTOCHEMISTRY; OZONE DEPLETION; UV-RADIATION; B RADIATION; MARINE BACTERIOPLANKTON; 6-4 PHOTOPRODUCTS; BACTERIAL-GROWTH; ANTARCTIC PHYTOPLANKTON</t>
  </si>
  <si>
    <t>A model of UV-induced DNA damage in oceanic bacterioplankton was de,eloped and tested against previously published and novel measurements of cyclobutane pyrimidine dimers (CPD) in surface layers of the ocean, The model describes the effects of solar irradiance, wind-forced mixing of bacterioplankton and optical properties of the water on net DNA damage in the water column. The biological part includes the induction of CPD by UV radiation and repair of this damage through photoreactivation and excision. The modeled damage is compared with measured variability of CPD in the ocean: diel variation in natural bacterioplankton communities at the surface and in vertical profiles under different wind conditions (net damage as influenced by repair and mixing); in situ incubation of natural assemblages of bacterioplankton (damage and repair, no mixing); and in situ incubation of DNA solutions (no repair, no mixing). The model predictions are generally consistent with the measurements, showing similar patterns with depth, time and wind speed. A sensitivity analysis assesses the effect on net DNA damage of varying ozone thickness, colored dissolved organic matter concentration, chlorophyll concentration. wind speed and mixed layer depth. Ozone thickness and mixed layer depth are the most important factors affecting net DNA damage in the mixed layer. From the model, the total amplification factor (TAF: a relative measure of the increase of damage associated with a decrease in ozone thickness) for net DNA damage in the euphotic zone is 1.7, as compared with 2.1-2.2 for irradiance weighted for damage to DNA at the surface.</t>
  </si>
  <si>
    <t>Dalhousie Univ, Dept Oceanog, CEOTR, Halifax, NS B3H 4J1, Canada; Univ W Florida, Ctr Environm Diagnost &amp; Bioremediat, Pensacola, FL 32514 USA</t>
  </si>
  <si>
    <t>Dalhousie University; State University System of Florida; University of West Florida</t>
  </si>
  <si>
    <t>Dalhousie Univ, Dept Oceanog, CEOTR, Halifax, NS B3H 4J1, Canada.</t>
  </si>
  <si>
    <t>yhuot@is2.dal.ca</t>
  </si>
  <si>
    <t>Cuillen, John/AAE-1371-2019; Cullen, John J/B-6105-2008; Huot, Yannick/B-4497-2008</t>
  </si>
  <si>
    <t>Cuillen, John/0000-0002-7740-0999; Huot, Yannick/0000-0003-1793-761X</t>
  </si>
  <si>
    <t>1751-1097</t>
  </si>
  <si>
    <t>10.1562/0031-8655(2000)072&lt;0062:DTDIBA&gt;2.0.CO;2</t>
  </si>
  <si>
    <t>334MX</t>
  </si>
  <si>
    <t>WOS:000088191200009</t>
  </si>
  <si>
    <t>Viswanathan, GM; Afanasyev, V; Buldyrev, SV; Havlin, S; da Luz, MGE; Raposo, EP; Stanley, HE</t>
  </si>
  <si>
    <t>Levy flights in random searches</t>
  </si>
  <si>
    <t>PHYSICA A-STATISTICAL MECHANICS AND ITS APPLICATIONS</t>
  </si>
  <si>
    <t>CHEMOSENSORY RESPONSES; CHAOTIC SYSTEMS; MOVEMENT; TIME; PATTERNS; DISTRIBUTIONS; DISPERSAL; BEHAVIOR; NUMBER; MODEL</t>
  </si>
  <si>
    <t>We review the general search problem of how to find randomly located objects that can only be detected in the limited vicinity of a forager, and discuss its quantitative description using the theory of random walks. We illustrate Levy flight foraging by comparison to Brownian random walks and discuss experimental observations of Levy flights in biological foraging. We review recent findings suggesting that an inverse square probability density distribution P(l) similar to l(-2) Of step lengths l can lead to optimal searches. Finally, we survey the explanations put forth to account for these unexpected findings. (C) 2000 Published by Elsevier Science B.V. All rights reserved.</t>
  </si>
  <si>
    <t>Boston Univ, Ctr Polymer Studies, Boston, MA 02215 USA; Univ Fed Alagoas, Dept Fis, BR-57072970 Maceio, AL, Brazil; Boston Univ, Dept Phys, Boston, MA 02215 USA; British Antarctic Survey, NERC, Cambridge CB3 0ET, England; Bar Ilan Univ, Gonda Goldschmied Ctr, Ramat Gan, Israel; Univ Fed Parana, Dept Fis, BR-81531990 Curitiba, Parana, Brazil; Univ Fed Pernambuco, Dept Fis, Lab Fis Teor &amp; Computac, BR-50670901 Recife, PE, Brazil; Harvard Univ, Lyman Lab Phys, Cambridge, MA 02138 USA</t>
  </si>
  <si>
    <t>Boston University; Universidade Federal de Alagoas; Boston University; UK Research &amp; Innovation (UKRI); Natural Environment Research Council (NERC); NERC British Antarctic Survey; Bar Ilan University; Universidade Federal do Parana; Universidade Federal de Pernambuco; Harvard University</t>
  </si>
  <si>
    <t>Boston Univ, Ctr Polymer Studies, Boston, MA 02215 USA.</t>
  </si>
  <si>
    <t>Gandhi@fis.ufal.br</t>
  </si>
  <si>
    <t>Buldyrev, Sergey V/I-3933-2015; Viswanathan, Gandhimohan M/J-8558-2012; gomes eleuterio da luz, marcos/H-7835-2012; Viswanathan, Gandhimohan/AAF-3937-2020; Havlin, Shlomo/ABF-1527-2020; Raposo, Ernesto P./ABA-7215-2020; Raposo, Ernesto P/N-2786-2017</t>
  </si>
  <si>
    <t>gomes eleuterio da luz, marcos/0000-0003-3865-2621; Raposo, Ernesto P./0000-0002-4178-8266; Raposo, Ernesto P/0000-0002-3595-4352; Buldyrev, Sergey/0000-0002-3008-1070; Viswanathan, Gandhimohan/0000-0002-2301-5593</t>
  </si>
  <si>
    <t>0378-4371</t>
  </si>
  <si>
    <t>1873-2119</t>
  </si>
  <si>
    <t>PHYSICA A</t>
  </si>
  <si>
    <t>Physica A</t>
  </si>
  <si>
    <t>10.1016/S0378-4371(00)00071-6</t>
  </si>
  <si>
    <t>328MQ</t>
  </si>
  <si>
    <t>WOS:000087855000001</t>
  </si>
  <si>
    <t>Ruhland, CT; Day, TA</t>
  </si>
  <si>
    <t>Effects of ultraviolet-B radiation on leaf elongation, production and phenylpropanoid concentrations of Deschampsia antarctica and Colobanthus quitensis in Antarctica</t>
  </si>
  <si>
    <t>BARLEY PRIMARY LEAVES; UV-B; CELL-WALLS; PHOTOSYSTEM-II; FERULIC ACID; LIQUIDAMBAR STYRACIFLUA; PHENOLIC CONSTITUENTS; OZONE DEPLETION; VASCULAR PLANTS; CROSS-LINKING</t>
  </si>
  <si>
    <t>Stratospheric ozone depletion by anthropogenic chlorofluorocarbons has lead to increases in ultraviolet-B radiation (UV-B; 280-320 nm) along the Antarctic Peninsula during the austral spring. We manipulated UV-B levels around plants of Antarctic hair grass (Deschampsia antarctica; Poaceae) and Antarctic pearlwort (Colobanthus quitensis; Caryophyllaceae) for one field season near Palmer Station along the west coast of the Antarctic Peninsula. Treatments involved placing frames over naturally growing plants that either (1) held filters that absorbed most biologically effective radiation (UV-B-BE; 'reduced UV-B', 22% of ambient UV-B-BE levels), (2) held filters that transmitted most UV-B,, ('near-ambient UV-B', 87% of ambient UV-B-BE levels), or (3) lacked filters ('ambient UV-B'). Leaves on D. antarctica exposed to near-ambient and ambient UV-B were 16-17% shorter than those exposed to reduced UV-B, and this was associated with shorter epidermal cells at the leaf base and tip. Leaves on C. quitensis exposed to near-ambient and ambient UV-B tended to be shorter (P = 0.18) and epidermal cells at the leaf base tended to be smaller than those under reduced UV-B (P &lt; 0.10). In order to further explain reductions in leaf length, we examined leaf concentrations of insoluble (cell-wall bound) phenylpropanoids, since it has been proposed that wall-bound phenylpropanoids such as ferulic acid may constrain cell expansion and leaf elongation. In both species, HPLC analysis revealed that ferulic and p-coumaric acid were major components of both insoluble and soluble phenylpropanoids. Although there were no significant differences in concentrations between UVB treatments, concentrations of insoluble ferulic acid in D. antarctica tended to be higher under ambient and near-ambient UV-B than under reduced UV-B (P = 0.17). We also examined bulk-leaf concentrations of soluble (methanol extractable) UV-B-absorbing compounds and found that concentrations were higher in plants exposed to near-ambient and ambient UV-B than in plants exposed to reduced UV-B. We also assessed the UV-B-screening effectiveness of leaves that had developed on plants at the field site with a fiber-optic microprobe. Leaf epidermal transmittance of 300-nm UV-B was 4.0 and 0.6% for D. antarctica and C. quitensis, respectively, which is low compared to grasses and herbaceous dicotyledonous plants found in more temperate climates. While the leaves of Antarctic vascular plants are relatively effective at screening UV-B, levels of UV-B in Antarctica are sufficient to reduce leaf epidermal cell size and leaf elongation in these species, although the mechanisms for these reductions remain unclear.</t>
  </si>
  <si>
    <t>Arizona State Univ, Dept Plant Biol, Tempe, AZ 85287 USA; Arizona State Univ, Photosynth Ctr, Tempe, AZ 85287 USA</t>
  </si>
  <si>
    <t>Arizona State University; Arizona State University-Tempe; Arizona State University; Arizona State University-Tempe</t>
  </si>
  <si>
    <t>Arizona State Univ, Dept Plant Biol, Life Sci E Wing,Room 218,Box 871601, Tempe, AZ 85287 USA.</t>
  </si>
  <si>
    <t>ruhland@imap2.asu.enu</t>
  </si>
  <si>
    <t>Day, Thomas/B-1462-2008</t>
  </si>
  <si>
    <t>Day, Thomas/0000-0002-1582-4585</t>
  </si>
  <si>
    <t>1399-3054</t>
  </si>
  <si>
    <t>10.1034/j.1399-3054.2000.100304.x</t>
  </si>
  <si>
    <t>334MR</t>
  </si>
  <si>
    <t>WOS:000088190700004</t>
  </si>
  <si>
    <t>Laybourn-Parry, J; Bell, EM; Roberts, EC</t>
  </si>
  <si>
    <t>Protozoan growth rates in Antarctic lakes</t>
  </si>
  <si>
    <t>CHOANOFLAGELLATE STEPHANOECA-DIPLOCOSTATA; HETEROTROPHIC DINOFLAGELLATE; PLANKTON DYNAMICS; FOOD-WEB; BACTERIOPLANKTON; SIZE</t>
  </si>
  <si>
    <t>The growth rates of heterotrophic nanoflagellates (HNAN), mixotrophic cryptophytes, dinoflagellates and ciliates in field assemblages from Ace Lake in the Vestfold Hills (eastern Antarctica) and Lakes Fryxell and Hoare (McMurdo Dry Valleys, western Antarctica), were determined during the austral summers of 1996/1997 and 1997/1998. The response of the nanoflagellates to temperature differed between lakes in eastern and western Antarctica. In Ace Lake the available bacterial food resources had little impact on growth rate, while temperature imposed an impact, whereas in Lake Hoare increased bacterial food resources elicited an increase in growth rate. However, the incorporation of published data from across Antarctica showed that temperature had the greater effect, but that growth is probably controlled by a suite of factors not solely related to bacterial food resources and temperature. Dinoflagellates had relatively high specific growth rates (0.0057-0.384 h(-1)), which were comparable to Antarctic lake ciliates and to dinoflagellates from warmer, lower latitude locations. Temperature did not appear to impose any significant impact on growth rates. Mixotrophic cryptophytes in Lake Hoare had lower specific growth rates than HNAN (0.0029-0.0059 h(-1) and 0.0056-0.0127 h(-1), respectively). They showed a marked seasonal variation in growth rate, which was probably related to photosynthetically active radiation under the ice at different depths in the water column. Ciliates' growth rates showed no relationship between food supply and mean cell volume, but did show a response to temperature. Specific growth rates ranged between 0.0033 and 0.150 h(-1) for heterotrophic ciliates, 0.0143 h(-1) for a mixotrophic Plagiocampa species and 0.0075 h(-1) for the entirely autotrophic ciliate, Mesodinium rubrum. The data indicated that the scope for growth among planktonic Protozoa living in oligotrophic, cold extreme lake ecosystems is limited. These organisms are likely to suffer prolonged physiological stress, which may account for the highly variable growth rates seen within and between Antarctic lakes.</t>
  </si>
  <si>
    <t>Univ Nottingham, Inst Environm Sci, Loughborough LE12 5RD, Leics, England; British Antarctic Survey, Cambridge CB3 0ET, England; McGill Univ, Dept Biol, Montreal, PQ H3A 1B1, Canada</t>
  </si>
  <si>
    <t>University of Nottingham; UK Research &amp; Innovation (UKRI); Natural Environment Research Council (NERC); NERC British Antarctic Survey; McGill University</t>
  </si>
  <si>
    <t>Univ Nottingham, Inst Environm Sci, Sutton Bonington, Loughborough LE12 5RD, Leics, England.</t>
  </si>
  <si>
    <t>Laybourn-Parry@nottingham.ac.uk</t>
  </si>
  <si>
    <t>10.1007/s003009900103</t>
  </si>
  <si>
    <t>334HR</t>
  </si>
  <si>
    <t>WOS:000088181500001</t>
  </si>
  <si>
    <t>López-González, PJ; Gili, JM</t>
  </si>
  <si>
    <t>A new octocoral genus (Cnidaria: Anthozoa) from Antarctic waters</t>
  </si>
  <si>
    <t>Sphaeralcyon weddellensis gen. nov. et sp. nov. is described and illustrated from three colonies collected in the eastern Weddell Sea on the Polarstern cruises ANT V/3 and ANT VI/3. The new genus is compared with three closely related alcyoniid genera, all having capitate or mushroom-shaped colonies and dimorphic polyps. Sphaeralcyon is readily distinguishable from Malacacanthus by the presence of sclerites (absent in the latter genus), and from Anthomastus by sclerite shape, mainly in the form of tuberculate spheroids, and by the horny periderm on the stalk (absent in Anthomastus). Sphaeralcyon also differs from Verseveldtia in the set of sclerites, which are elongate spiny rods and a different type of tuberculate spheroid, and in the presence of eight-points as anthocodial armature (absent in Verseveldtia). The discovery of this new genus lends further support to the notion that diversity in benthic communities in Antarctica is higher than suggested by previous studies.</t>
  </si>
  <si>
    <t>Univ Seville, Fac Biol, Lab Biol Marina, E-41012 Seville, Spain; CSIC, Inst Ciencias Mar, E-08039 Barcelona, Spain</t>
  </si>
  <si>
    <t>University of Sevilla; Consejo Superior de Investigaciones Cientificas (CSIC); CSIC - Centro Mediterraneo de Investigaciones Marinas y Ambientales (CMIMA); CSIC - Instituto de Ciencias del Mar (ICM)</t>
  </si>
  <si>
    <t>Univ Seville, Fac Biol, Lab Biol Marina, Reina Mercedes 6, E-41012 Seville, Spain.</t>
  </si>
  <si>
    <t>jlopez@cica.es</t>
  </si>
  <si>
    <t>Lopez-González, Pablo J./Y-6440-2018</t>
  </si>
  <si>
    <t>Lopez-González, Pablo J./0000-0002-7348-6270</t>
  </si>
  <si>
    <t>10.1007/s003009900105</t>
  </si>
  <si>
    <t>WOS:000088181500002</t>
  </si>
  <si>
    <t>Kasamatsu, F; Matsuoka, K; Hakamada, T</t>
  </si>
  <si>
    <t>Interspecific relationships in density among the whale community in the Antarctic</t>
  </si>
  <si>
    <t>SOUTHERN-OCEAN; MINKE WHALES; PHYTOPLANKTON PRODUCTION; FIELD EXPERIMENTS; COMPETITION</t>
  </si>
  <si>
    <t>Interspecific relationships in density among a whale community in Antarctic feeding grounds were examined using the sightings data derived from the systematic surveys conducted between 1978/1979 and 1987/1988. A clear difference in densities against the physiographic variables (the sea Boor-slope type) was identified between baleen whales and toothed whales. Densities of sperm whales and ziphiids were low in the waters over the continental shelf where minke whales' densities were highest. This led to an apparent negative correlation in the density between minke and sperm whales, and minke whale and ziphiids. A significant positive correlation in density between minke and blue whales was identified. No association in density between minke and humpback whales was observed. Distribution of killer whales shows strong positive correlation with that of minke whales. The positive correlation existed between minke and blue whales, and minke and killer whales even when the effect of environmental variables was excluded. Analysis also revealed that the environmental variables, including physiographic variables, are major factors affecting the distributions and density of whales, especially between baleen whales and toothed whales.</t>
  </si>
  <si>
    <t>Marine Ecol Res Inst, Tokyo 1010051, Japan; Inst Cetacean Res, Tokyo 1080055, Japan</t>
  </si>
  <si>
    <t>Marine Ecol Res Inst, 3-29 Jimbocho,Kanda, Tokyo 1010051, Japan.</t>
  </si>
  <si>
    <t>kasamats@sepia.ocn.ne.jp</t>
  </si>
  <si>
    <t>10.1007/s003009900107</t>
  </si>
  <si>
    <t>WOS:000088181500004</t>
  </si>
  <si>
    <t>Harcourt, RG; Hindell, MA; Bell, DG; Waas, JR</t>
  </si>
  <si>
    <t>Three-dimensional dive profiles of free-ranging Weddell seals</t>
  </si>
  <si>
    <t>SOUTHERN ELEPHANT SEALS; UNDER-ICE MOVEMENTS; DIVING BEHAVIOR; SWIMMING SPEED; CLASSIFICATION; ANTARCTICA; FREQUENCY; SEABIRDS; VELOCITY; SUCCESS</t>
  </si>
  <si>
    <t>We used an acoustic tracking system to record under-ice movements of two free-ranging adult male Weddell seals. The two males were unconstrained and interacting with other Weddell seals at a breeding colony in McMurdo Sound, Antarctica. We reconstructed three-dimensional paths of 279 dives by these seals. All dives were less than 20-min duration and none were deeper than 220 m. These three-dimensional dive profiles were compared with conventional time-depth dive profiles recorded using microprocessor loggers. We assigned each of the 279 dives to 1 of 6 classes using an existing classification scheme on the basis of the time-depth trace. Within these, two-dimensionally derived, classes the actual three-dimensional dive profiles at times varied profoundly. Additional parameters obtained with the acoustic system, such as bearing and distance travelled between diving and surfacing points, demonstrate that significant, additional, biologically important information can be derived from the three-dimensional data.</t>
  </si>
  <si>
    <t>Macquarie Univ, Grad Sch Environm, Marine Mammal Res Grp, Sydney, NSW 2109, Australia; Univ Tasmania, Dept Zool, Antarctic Wildlife Res Unit, Hobart, Tas 7001, Australia; Univ Waikato, Dept Biol Sci, Hamilton, New Zealand</t>
  </si>
  <si>
    <t>Macquarie University; University of Tasmania; University of Waikato</t>
  </si>
  <si>
    <t>Harcourt, RG (corresponding author), Macquarie Univ, Grad Sch Environm, Marine Mammal Res Grp, Sydney, NSW 2109, Australia.</t>
  </si>
  <si>
    <t>rharcour@gse.mq.edu.au</t>
  </si>
  <si>
    <t>Hindell, Mark A/K-1131-2013; Hindell, Mark A/C-8368-2013</t>
  </si>
  <si>
    <t>Hindell, Mark/0000-0002-7823-7185; Harcourt, Robert/0000-0003-4666-2934</t>
  </si>
  <si>
    <t>10.1007/s003000000109</t>
  </si>
  <si>
    <t>WOS:000088181500006</t>
  </si>
  <si>
    <t>Cerrano, C; Puce, S; Chiantore, M; Bavestrello, G</t>
  </si>
  <si>
    <t>Unusual trophic strategies of Hydractinia angusta (Cnidaria, Hydrozoa) from Terra Nova Bay, Antarctica</t>
  </si>
  <si>
    <t>SHELLS</t>
  </si>
  <si>
    <t>Hydractinia angusta Hartlaub, 1904 has been recorded at Terra Nova Bay (Ross Sea. Antarctica) as epizoic on shells of the Antarctic scallop Adamussium colbecki. The species can exploit different trophic resources: first, polyps are able to detach and ingest tube feet and pedicellariae from the sea urchins Sterechinus neumayeri, grazing on the scallop shell, and second, they also eat masses of benthic diatoms settled among the hydrorhiza of the colony. The particular relationship observed between the hydroid and one of the most common Antarctic sea urchins may prevent or reduce the damage to A. colbecki shells, otherwise mused by the grazing of sea urchins on the algal film of the upper valve of the scallops. H. angusta is the first known species of hydroid that exploits prey several times its own size and the second that does not ingest entire prey but portions of them. The use of benthic diatoms as a food resource has previously been documented for the sub-Antarctic marine hydroid Silicularia rosea.</t>
  </si>
  <si>
    <t>Univ Genoa, Dipartimento Studio Territor &amp; Sue Risorse, I-16126 Genoa, Italy; Univ Ancona, Ist Sci Mare, I-60131 Ancona, Italy</t>
  </si>
  <si>
    <t>Univ Genoa, Dipartimento Studio Territor &amp; Sue Risorse, Via Balbi 5, I-16126 Genoa, Italy.</t>
  </si>
  <si>
    <t>zoologia@unige.it</t>
  </si>
  <si>
    <t>Bavestrello, Giorgio/JXN-5230-2024; Cerrano, Carlo/AAF-3557-2019; Chiantore, Mariachiara/C-7070-2017</t>
  </si>
  <si>
    <t>Cerrano, Carlo/0000-0001-9580-5546; Chiantore, Mariachiara/0000-0002-5862-1470</t>
  </si>
  <si>
    <t>10.1007/s003000000110</t>
  </si>
  <si>
    <t>WOS:000088181500007</t>
  </si>
  <si>
    <t>Murdie, RE; Styles, P; Prior, DJ; Daniel, AJ</t>
  </si>
  <si>
    <t>A new gravity map of southern Chile and its preliminary interpretation</t>
  </si>
  <si>
    <t>REVISTA GEOLOGICA DE CHILE</t>
  </si>
  <si>
    <t>triple junction; Bouguer anomaly; slab window</t>
  </si>
  <si>
    <t>TRIPLE JUNCTION; RIDGE COLLISION; NAZCA PLATE; SPATIAL-DISTRIBUTION; ANTARCTIC PENINSULA; SUBDUCTION ZONE; TECTONICS; GEOMETRY; TRENCH; EARTHQUAKES</t>
  </si>
  <si>
    <t>New onshore gravity data have been collected in Southern Chile in the region onshore of the Chile Margin Triple Junction. The aim of the project was to investigate the effects of ridge subduction on the continental margin. The resultant Bouguer anomaly map shows a regional decrease in Bouguer anomaly to the east, corresponding with thickening of the mantle wedge, a large circular low of about -60 mGal in the Bouguer Anomaly in the vicinity of Lago General Carrera and a linear trend at the western edge of the main Andean Chain along the Liquine -Ofqui Fault. Euler deconvolution has been used to determine the depth to the principal causative body which lies at subcrustal depths (ca. 65 km). The anomaly lies close to the predicted positions of subducted segments of the Chile Rise and the authors suggest that the anomaly is associated with the ridge subduction process.</t>
  </si>
  <si>
    <t>Univ Keele, Dept Geog &amp; Earth Sci, Keele ST5 5BG, Staffs, England</t>
  </si>
  <si>
    <t>Keele University</t>
  </si>
  <si>
    <t>Murdie, RE (corresponding author), Univ Keele, Dept Geog &amp; Earth Sci, Keele ST5 5BG, Staffs, England.</t>
  </si>
  <si>
    <t>SERVICIO NACIONAL GEOLOGIA MINERVA</t>
  </si>
  <si>
    <t>SANTIAGO</t>
  </si>
  <si>
    <t>AVDA SANTA MARIO 0104, CASILLA 10465, SANTIAGO, CHILE</t>
  </si>
  <si>
    <t>0716-0208</t>
  </si>
  <si>
    <t>REV GEOL CHILE</t>
  </si>
  <si>
    <t>Rev. Geol. Chile</t>
  </si>
  <si>
    <t>341BW</t>
  </si>
  <si>
    <t>WOS:000088572000004</t>
  </si>
  <si>
    <t>Stone, R</t>
  </si>
  <si>
    <t>Vostok: Looking for life beneath an Antarctic glacier - In what may be the world's largest lake never seen by a human eye, the search begins</t>
  </si>
  <si>
    <t>SMITHSONIAN</t>
  </si>
  <si>
    <t>SMITHSONIAN ASSOCIATES</t>
  </si>
  <si>
    <t>900 JEFFERSON DRIVE, WASHINGTON, DC 20560 USA</t>
  </si>
  <si>
    <t>0037-7333</t>
  </si>
  <si>
    <t>Smithsonian</t>
  </si>
  <si>
    <t>Humanities, Multidisciplinary</t>
  </si>
  <si>
    <t>Arts &amp; Humanities - Other Topics</t>
  </si>
  <si>
    <t>328CV</t>
  </si>
  <si>
    <t>WOS:000087832000020</t>
  </si>
  <si>
    <t>Montgomery, J; Clements, K</t>
  </si>
  <si>
    <t>Disaptation and recovery in the evolution of Antarctic fishes</t>
  </si>
  <si>
    <t>TRENDS IN ECOLOGY &amp; EVOLUTION</t>
  </si>
  <si>
    <t>LAKE VICTORIA; HEMOGLOBINLESS ICEFISHES; NOTOTHENIOID FISH; GLOBIN GENES; ADAPTATIONS; REMNANTS; SYSTEMS; FORM</t>
  </si>
  <si>
    <t>The radiation of notothenioid fishes provides an excellent system to explore issues of evolution and adaptation, Most studies emphasize adaptation to the extreme Antarctic environment; however, recent work provides cogent examples of disaptation or evolutionary loss of function. The nature and extent of regressive change is revealed by subsequent adaptive recovery, Ancestral notothenioids were benthic but some became secondarily pelagic through the retention of larval characters, Paedomorphosis has produced detrimental changes in lateral-line sensory systems that have been made good by compensatory adaptation. In the icefish family, compensatory adaptation has followed the loss of the oxygen-binding pigments haemoglobin and myoglobin.</t>
  </si>
  <si>
    <t>Univ Auckland, Sch Biol Sci, Auckland 1, New Zealand</t>
  </si>
  <si>
    <t>University of Auckland</t>
  </si>
  <si>
    <t>Univ Auckland, Sch Biol Sci, Private Bag 92019, Auckland 1, New Zealand.</t>
  </si>
  <si>
    <t>j.montgomery@auckland.ac.nz; k.clements@auckland.ac.nz</t>
  </si>
  <si>
    <t>Montgomery, John/D-4310-2009</t>
  </si>
  <si>
    <t>Montgomery, John/0000-0002-7451-3541; Clements, Kendall/0000-0001-8512-5977</t>
  </si>
  <si>
    <t>ELSEVIER SCIENCE LONDON</t>
  </si>
  <si>
    <t>84 THEOBALDS RD, LONDON WC1X 8RR, ENGLAND</t>
  </si>
  <si>
    <t>0169-5347</t>
  </si>
  <si>
    <t>1872-8383</t>
  </si>
  <si>
    <t>TRENDS ECOL EVOL</t>
  </si>
  <si>
    <t>Trends Ecol. Evol.</t>
  </si>
  <si>
    <t>10.1016/S0169-5347(00)01896-6</t>
  </si>
  <si>
    <t>328CK</t>
  </si>
  <si>
    <t>WOS:000087831100006</t>
  </si>
  <si>
    <t>Becker, G; Müller, R; McKenna, DS; Rex, M; Carslaw, KS; Oelhaf, H</t>
  </si>
  <si>
    <t>Ozone loss rates in the Arctic stratosphere in the winter 1994/1995:: Model simulations underestimate results of the Match analysis</t>
  </si>
  <si>
    <t>IN-SITU MEASUREMENTS; ANTARCTIC OZONE; NITRIC-ACID; FEBRUARY 1995; DEPLETION; AEROSOL; VORTEX; CHLORINE; CLOUDS; DENITRIFICATION</t>
  </si>
  <si>
    <t>We present box model simulations of ozone loss rates in the Arctic lower stratosphere for the winter 1994/1995, The ozone loss was simulated along each of the trajectories of the Match data set for 1994/1995 to conduct a quantitative comparison with the Match results, The simulated ozone loss rates reach their maximum value of approximate to 4 ppb per sunlit hour at the end of January, For this period and for potential temperatures below 475 K the model results are in good agreement with the Match results, but for potential temperatures above 475 K the model underestimates the ozone loss rate by up to a factor of 2. This difference cannot be explained by known uncertainties of the model. Enhanced ozone loss has also been observed in March 1995 for potential temperatures below 475 K. These loss rates are also substantially underestimated by the model, but are within the range of the model uncertainties, In particular, the ozone loss rates simulated for March 1995 strongly depend on the extent of denitrification.</t>
  </si>
  <si>
    <t>Forschungszentrum Julich, Inst Stratosphar Chem IGC 1, D-52425 Julich, Germany; Forschungszentrum Karlsruhe, Inst Meteorol &amp; Klimaforsch, D-76021 Karlsruhe, Germany; CALTECH, Jet Prop Lab, Pasadena, CA USA; Max Planck Inst Chem, Mainz, Germany</t>
  </si>
  <si>
    <t>Helmholtz Association; Research Center Julich; Helmholtz Association; Karlsruhe Institute of Technology; California Institute of Technology; National Aeronautics &amp; Space Administration (NASA); NASA Jet Propulsion Laboratory (JPL); Max Planck Society</t>
  </si>
  <si>
    <t>Forschungszentrum Julich, Inst Stratosphar Chem IGC 1, Postfach 1913, D-52425 Julich, Germany.</t>
  </si>
  <si>
    <t>ro.mueller@fz-juelich.de; mrex@awi-potsdam.de; carslaw@lec.leeds.ac.uk; oelhaf@imk.fzk.de</t>
  </si>
  <si>
    <t>Rex, Markus/A-6054-2009; Oelhaf, Hermann A/A-7895-2013; Müller, Rolf/ABA-8213-2021; Carslaw, Ken S/C-8514-2009; McKenna, Daniel/E-7806-2014</t>
  </si>
  <si>
    <t>Rex, Markus/0000-0001-7847-8221; Müller, Rolf/0000-0002-5024-9977; Carslaw, Ken S/0000-0002-6800-154X; McKenna, Daniel/0000-0002-4360-4782</t>
  </si>
  <si>
    <t>JUN 27</t>
  </si>
  <si>
    <t>D12</t>
  </si>
  <si>
    <t>10.1029/2000JD900056</t>
  </si>
  <si>
    <t>328HP</t>
  </si>
  <si>
    <t>WOS:000087844900005</t>
  </si>
  <si>
    <t>Davidson, AT; van der Heijden, A</t>
  </si>
  <si>
    <t>Exposure of natural Antarctic marine microbial assemblages to ambient UV radiation: effects on bacterioplankton</t>
  </si>
  <si>
    <t>AQUATIC MICROBIAL ECOLOGY</t>
  </si>
  <si>
    <t>bacteria; UV radiation; antarctic; plankton</t>
  </si>
  <si>
    <t>DISSOLVED ORGANIC-MATTER; ULTRAVIOLET-B RADIATION; SOLAR-RADIATION; COASTAL WATERS; BACTERIAL BIOMASS; SEAWATER; VIRUSES; GROWTH; SEA; PHOTODEGRADATION</t>
  </si>
  <si>
    <t>Seasonal ozone depletion over Antarctica leads to enhanced UVB (280 to 320 nm) radiation throughout the period of greatest biological production. The effect of UV radiation on bacterioplankton has received little attention, and its effects on marine microheterotrophs and viruses, which mediate bacterial biomass, are poorly understood. This study examined the impact of ambient solar UV radiation on bacterioplankton in natural Antarctic microbial communities. Following a lag of 2 d, bacterial concentrations increased all light treatments. Inhibition of bacterial growth increased with increasing UV irradiance and duration of exposure, reaching 27% inhibition in high UV treatments (less than or equal to 2.0 m equivalent depth) compared to controls after 7 d exposure. Bacterioplankton growth rates declined in all treatments during post-UV incubation, particularly at lower UV irradiances (greater than or equal to 3.0 m equivalent depth), indicating UV-induced inhibition of bacterial mortality during irradiation. Positive bacterial growth coincided with both phytoplankton mortality and increased microheterotroph concentrations following exposure to high UV irradiances. Exposure of Antarctic microbial communities to ambient UV is likely to increase microbial respiration of carbon in surface waters and reduce vertical carbon flux.</t>
  </si>
  <si>
    <t>andrew.davidson@antdiv.gov.au</t>
  </si>
  <si>
    <t>0948-3055</t>
  </si>
  <si>
    <t>1616-1564</t>
  </si>
  <si>
    <t>AQUAT MICROB ECOL</t>
  </si>
  <si>
    <t>Aquat. Microb. Ecol.</t>
  </si>
  <si>
    <t>JUN 15</t>
  </si>
  <si>
    <t>10.3354/ame021257</t>
  </si>
  <si>
    <t>327UV</t>
  </si>
  <si>
    <t>WOS:000087813000005</t>
  </si>
  <si>
    <t>Panzenböck, M; Möbes-Hansen, B; Albert, R; Herndl, GJ</t>
  </si>
  <si>
    <t>Dynamics of phyto- and bacterioplankton in a high Arctic lake on Franz Joseph!Land archipelago</t>
  </si>
  <si>
    <t>Arctic lake; bacterioplankton; phytoplankton; bacterial activity; primary production</t>
  </si>
  <si>
    <t>DISSOLVED ORGANIC-CARBON; ICE-COVERED LAKE; FRESH-WATER; EXTRACELLULAR RELEASE; OLIGOTROPHIC LAKE; BACTERIAL-GROWTH; CHAR LAKE; CORNWALLIS-ISLAND; ANTARCTIC LAKE; EUTROPHIC LAKE</t>
  </si>
  <si>
    <t>Pelagic food web processes with focus on phyto- and bacterioplankton dynamics were followed in a high Arctic lake on Ziegler Island, Franz Joseph Land archipelago, during July and August 1996. The oligotrophic, permanently ice-covered lake is characterized by a rather short pelagic food web with rotifers representing the highest trophic level. Phytoplankton biomass and net primary production averaging 1.8 mu g chl a l(-1) and 22 mu g C l(-1) d(-1), respectively, decreased during the investigation period. Photosynthetic extracellular release (P-er) corrected for bacterial uptake was high and contributed between 31% (July) and 96% (August) of total primary production. The abundance of bacteria (9.3 to 17.3 x 10(5) ml(-1)) and flagellates (7.8 to 17.3 x 10(2) ml(-1)) varied within a narrow range. Bacterioplankton production ranging from 1.2 to 3.9 mu g C l(-1) d(-1) and bacterial growth rates {0.1 to 0.3 d(-1)} increased with increasing % P-er, indicating that algal exudates are the major carbon source for bacterioplankton. Bacterial carbon demand (assuming a 50% growth efficiency) amounted to 19% of gross pelagic primary production (P(par)t + P-er) and 31% of P-er during the investigation period. Evidence was found that bacterioplankton metabolism responds quickly to slight increases in temperature (1.2 to 2.0 degrees C) with increased growth. Overall, production rates of phyto- and bacterioplankton in this high Arctic lake are similar to other Arctic lakes studied thus far, and the food web structure is even simpler than in most lakes at similar latitudes.</t>
  </si>
  <si>
    <t>Inst Ecol, A-1090 Vienna, Austria; Netherlands Inst Sea Res, Dept Biol Oceanog, NL-1790 AB Den Burg, Netherlands</t>
  </si>
  <si>
    <t>Panzenböck, M (corresponding author), Inst Ecol, Althanstr 14, A-1090 Vienna, Austria.</t>
  </si>
  <si>
    <t>Herndl, Gerhard J./B-1513-2013</t>
  </si>
  <si>
    <t>Herndl, Gerhard J./0000-0002-2223-2852</t>
  </si>
  <si>
    <t>10.3354/ame021265</t>
  </si>
  <si>
    <t>WOS:000087813000006</t>
  </si>
  <si>
    <t>Stoecker, DK; Gustafson, DE; Baier, CT; Black, MMD</t>
  </si>
  <si>
    <t>Primary production in the upper sea ice</t>
  </si>
  <si>
    <t>sea ice; Antarctica; McMurdo Sound; ice algae; cysts; hypnozygotes; dinoflagellates; Polarella; diatoms; chrysophytes; primary productivity</t>
  </si>
  <si>
    <t>ANTARCTIC PACK-ICE; PHOTOSYNTHESIS-IRRADIANCE RELATIONSHIPS; MICROBIAL COMMUNITIES SIMCO; CHLOROPHYLL-A-CARBON; MCMURDO-SOUND; WEDDELL SEA; ALGAE; MICROALGAE; ASSEMBLAGES; NUTRIENT</t>
  </si>
  <si>
    <t>Observations and experiments were conducted on fast ice in McMurdo Sound, Antarctica, to investigate seasonal changes in primary production in the upper sea ice interior. In November and early December 1995, a dense phytoflagellate assemblage developed in the brine channels and pockets at a snow-free site. Primary production was calculated from C-14 measurements of primary productivity in brine samples combined with estimates of the proportion of the ice volume occupied by brine. On 4 December 1995, when the dinoflagellate Polarella glacialis dominated, estimated daily production peaked at 12.4 mg C m(-2) in the upper 50 cm of ice. On this date, brine temperature was similar to-3 degrees C and brine salinity was similar to 60. By mid-December, daily production declined by 77%, but chlorophyll-specific rates of photosynthesis remained high. The decline in production coincided with encystment of P. glacialis and nutrient depletion, the former triggered by the latter. Primary production continued to decrease during December and January. On 9 January 1996, when ice temperatures were similar to-1 degrees C and brine salinity was similar to 20, there was a brief bloom of small pennate diatoms in the upper ice interior, but chlorophyll-specific rates of photosynthesis were low and estimated daily production was &lt;1 mg C m(-2). Based on C-14 uptake and brine volume, algal production in the upper 50 cm of sea ice was 181 mg C m(-2) for the season (mid-November through mid-January). Increases in phytoflagellate biomass in the upper 90 cm of ice for this same period indicated that production was greater than or equal to 256 mg C m(-2). Brief early season blooms of cryo- and halo-tolerant phytoflagellates accounted for most of the primary production in the upper sea ice interior.</t>
  </si>
  <si>
    <t>Univ Maryland, Horn Point Environm Lab, Ctr Environm Sci, Cambridge, MD 21613 USA</t>
  </si>
  <si>
    <t>University System of Maryland; University of Maryland Center for Environmental Science</t>
  </si>
  <si>
    <t>Univ Maryland, Horn Point Environm Lab, Ctr Environm Sci, POB 775, Cambridge, MD 21613 USA.</t>
  </si>
  <si>
    <t>stoecker@hpl.umces.edu</t>
  </si>
  <si>
    <t>stoecker, diane k/F-9341-2013; Black, Megan MMD/G-6410-2016</t>
  </si>
  <si>
    <t>Black, Megan/0000-0001-5511-1419</t>
  </si>
  <si>
    <t>10.3354/ame021275</t>
  </si>
  <si>
    <t>WOS:000087813000007</t>
  </si>
  <si>
    <t>Chessa, JP; Petrescu, I; Bentahir, M; Van Beeumen, J; Gerday, C</t>
  </si>
  <si>
    <t>Purification, physico-chemical characterization and sequence of a heat labile alkaline metalloprotease isolated from a psychrophilic Pseudomonas species</t>
  </si>
  <si>
    <t>psychrophile; alkaline metalloprotease; cold adaptation; Antarctic; immobilized metal affinity chromatography</t>
  </si>
  <si>
    <t>COLD ADAPTATION; CRYSTAL-STRUCTURE; MOLECULAR-BASIS; ANTARCTIC FISH; AERUGINOSA; PROTEASE; SECRETION; PROTEINS; BINDING; TEMPERATURE</t>
  </si>
  <si>
    <t>The psychrophilic alkaline metalloprotease (PAP) produced by a Pseudomonas bacterium isolated from Antarctica has been purified and characterized. The gene encoding PAP has been cloned and sequenced and the derived amino acid sequence shows 66% identity with the mesophilic alkaline metalloprotease from Pseudomonas aeruginosa IFO 3455 (AP). Compared to the purified AP, PAP is three times more active at 20 degrees C, is very sensitive to chelating agents and is rapidly inactivated at 45 degrees C. The lower thermostability of PAP can tentatively be explained by a loss of a stabilizing Ca2+, a decrease in the content of hydrophobic residues and a smaller aliphatic index. (C) 2000 Elsevier Science B.V. All rights reserved.</t>
  </si>
  <si>
    <t>Univ Liege, Biochem Lab, B-4000 Liege, Belgium; Univ Ghent, Lab Biochem &amp; Prot Engn, B-9000 Ghent, Belgium</t>
  </si>
  <si>
    <t>University of Liege; Ghent University</t>
  </si>
  <si>
    <t>Univ Liege, Biochem Lab, Sart Tilman B6, B-4000 Liege, Belgium.</t>
  </si>
  <si>
    <t>ch.gerday@ulg.ac.be</t>
  </si>
  <si>
    <t>10.1016/S0167-4838(00)00018-2</t>
  </si>
  <si>
    <t>329XM</t>
  </si>
  <si>
    <t>WOS:000087933800026</t>
  </si>
  <si>
    <t>Schäfer, JM; Baur, H; Denton, GH; Ivy-Ochs, S; Marchant, DR; Schlüchter, C; Wieler, R</t>
  </si>
  <si>
    <t>The oldest ice on Earth in Beacon Valley, Antarctica:: new evidence from surface exposure dating</t>
  </si>
  <si>
    <t>cosmogenic elements; noble gases; relict materials; ice; sublimation; Antarctica</t>
  </si>
  <si>
    <t>SOUTHERN VICTORIA LAND; DRY VALLEYS; SUBLIMATION; NE-21; RATES; BALANCE; GLACIER; MIOCENE; BE-10; AL-26</t>
  </si>
  <si>
    <t>Beacon Valley, Antarctica, contains unique remnants of glacier ice underneath a till layer covering the valley floor. To constrain the age and evolution of this important indicator of Antarctic paleoclimate, we analyzed two dolerite erratics from the till surface and one from within the ice for cosmogenic helium and neon. A conservative minimum exposure age of the older surface sample is 2.3 Mal but taking into account erosion, the true exposure age of this boulder is likely to be considerably higher. The buried sample contains more than 20 times less cosmogenic noble gases than the old surface sample, although its current shielding would imply only a three times lower production rate. This indicates that the ice level has slowly been lowered by sublimation at the rate of a few m/Ma. The high exposure age of the surface sample as well as the very low sublimation rate of the relict ice both support the conclusion that the remnant ice in Beacon Valley was deposited many million years ago [Sugden et al., Nature 376 (1995) 412-414] and has never been thinner than at present. In addition, we found that cosmogenic helium and neon are released quantitatively from pyroxene at temperatures of &lt; 900 degrees C and &gt; 1000 degrees C, respectively. (C) 2000 Elsevier Science B.V. All rights reserved.</t>
  </si>
  <si>
    <t>ETH Zentrum NO, ETH Zurich, CH-8092 Zurich, Switzerland; Univ Maine, Dept Geol Sci, Orono, ME 04469 USA; Univ Maine, Inst Quanternary Studies, Orono, ME 04469 USA; Univ Bern, Inst Geol, CH-3012 Bern, Switzerland; Boston Univ, Dept Earth Sci, Boston, MA USA</t>
  </si>
  <si>
    <t>Swiss Federal Institutes of Technology Domain; ETH Zurich; University of Maine System; University of Maine Orono; University of Maine System; University of Maine Orono; University of Bern; Boston University</t>
  </si>
  <si>
    <t>ETH Zentrum NO, ETH Zurich, Sonneggstr 5, CH-8092 Zurich, Switzerland.</t>
  </si>
  <si>
    <t>schaefer@erdw.ethz.ch</t>
  </si>
  <si>
    <t>Wieler, Rainer/A-1355-2010</t>
  </si>
  <si>
    <t>Wieler, Rainer/0000-0001-5666-7494</t>
  </si>
  <si>
    <t>10.1016/S0012-821X(00)00095-9</t>
  </si>
  <si>
    <t>326PG</t>
  </si>
  <si>
    <t>WOS:000087743500008</t>
  </si>
  <si>
    <t>Nedoluha, GE; Bevilacqua, RM; Hoppel, KW; Daehler, M; Shettle, EP; Hornstein, JH; Fromm, MD; Lumpe, JD; Rosenfield, JE</t>
  </si>
  <si>
    <t>POAM III measurements of dehydration in the Antarctic lower stratosphere</t>
  </si>
  <si>
    <t>POLAR VORTEX; DESCENT; WINTER; H2O</t>
  </si>
  <si>
    <t>We present measurements of stratospheric water vapor and aerosols in the Antarctic from the FOAM III instrument during the period April through December 1998. The measured variations in water vapor enable us to study both descent in the vortex and the effect of dehydration that occurs in the lower stratosphere below similar to 23 km when the temperature drops below the frost point in July. There is a temporal correlation between the dehydration that occurs in July and an increase in high aerosol optical depth events in the lower stratosphere, suggesting that these events are due to the presence of ice PSC's. When temperatures warm up there is some rehydration at the highest altitudes of the dehydrated region (similar to 20-23 km), probably resulting from descent within the vortex. At similar to 12 km rehydration is probably the result of mixing in of air from outside the vortex. The temperature increase in October produces little rehydration at 17 km and no clear rehydration at 14 km, suggesting that the water has precipitated out of these layers.</t>
  </si>
  <si>
    <t>USN, Res Lab, Washington, DC 20375 USA; Computat Phys Inc, Fairfax, VA 22031 USA; NASA, Goddard Space Flight Ctr, Gen Sci Corp, Greenbelt, MD 20771 USA</t>
  </si>
  <si>
    <t>United States Department of Defense; United States Navy; Naval Research Laboratory; National Aeronautics &amp; Space Administration (NASA); NASA Goddard Space Flight Center</t>
  </si>
  <si>
    <t>Nedoluha, GE (corresponding author), USN, Res Lab, Code 7227, Washington, DC 20375 USA.</t>
  </si>
  <si>
    <t>Fromm, Michael/F-4639-2010</t>
  </si>
  <si>
    <t>10.1029/1999GL011087</t>
  </si>
  <si>
    <t>325CD</t>
  </si>
  <si>
    <t>WOS:000087658000001</t>
  </si>
  <si>
    <t>Trathan, PN; Brandon, MA; Murphy, EJ; Thorpe, SE</t>
  </si>
  <si>
    <t>Transport and structure within the Antarctic Circumpolar Current to the north of South Georgia</t>
  </si>
  <si>
    <t>SURFACE TEMPERATURE DATA; POLAR FRONT; WATER MASSES; SEA; LOCATION; ATLANTIC; ZONE</t>
  </si>
  <si>
    <t>The Antarctic Circumpolar Current (ACC) crosses rugged topography to the north of South Georgia. In this region the subsurface expression of the Polar Front (PF) is generally thought to occur north of the Maurice Ewing Bank (MEB) close to the Subantarctic Front (SAF). However, in January 1996 the PF was south of the bank, separate from the SAF, in a position where it was most likely constrained by local bathymetry. High rates of transport (25 Sv eastward) were present at the PF, consistent with previous estimates for this current core. High transport rates (20 Sv westward) were also present along the northern shelf of South Georgia close to where the southern ACC Front (sACCF) has previously been reported. During our occupation, the sACCF was not encountered as it probably lay outside the survey area. Comparisons with recent circumpolar analyses emphasise the potential for variability in the region.</t>
  </si>
  <si>
    <t>British Antarctic Survey, Biosci Div, Cambridge CB3 0ET, England; Univ E Anglia, Sch Environm Sci, Norwich NR4 7TJ, Norfolk, England</t>
  </si>
  <si>
    <t>UK Research &amp; Innovation (UKRI); Natural Environment Research Council (NERC); NERC British Antarctic Survey; University of East Anglia</t>
  </si>
  <si>
    <t>Trathan, PN (corresponding author), British Antarctic Survey, Biosci Div, High Cross,Madingley Rd, Cambridge CB3 0ET, England.</t>
  </si>
  <si>
    <t>murphy, eugene/GZL-1620-2022; Brandon, Mark A/A-5804-2010</t>
  </si>
  <si>
    <t>Thorpe, Sally/0000-0002-5193-6955; Brandon, Mark/0000-0002-7779-0958</t>
  </si>
  <si>
    <t>10.1029/1999GL011131</t>
  </si>
  <si>
    <t>WOS:000087658000012</t>
  </si>
  <si>
    <t>Houseago-Stokes, RE; McGregor, GR</t>
  </si>
  <si>
    <t>Spatial and temporal patterns linking southern low and high latitudes during south Pacific warm and cold events</t>
  </si>
  <si>
    <t>ENSO signal propagation; Antarctic; climate anomalies; teleconnections; harmonic analysis</t>
  </si>
  <si>
    <t>INTERANNUAL VARIABILITY; SEA-ICE; OSCILLATION; HEMISPHERE; TEMPERATURE; ANOMALIES; PRESSURE; CLIMATE; 500-MB; OCEAN</t>
  </si>
  <si>
    <t>The phase and magnitude of the first harmonic of cold and warm event-centred 24-month 500 hPa height anomalies over the Southern Hemisphere are investigated in order to establish whether low and high latitude 500 hPa pressure anomalies are linked during Pacific Ocean warm (El Nino) and cold (La Nina) events. Study results revealed a linkage of pressure anomalies centred on 60 degrees E in the Indian Ocean-East Antarctic region during cold events. In contrast to cold events, warm event signals in this area, as well as in the Antarctic Peninsula region, lack clarity because of considerable warm event variability. During warm events, however, a clear wave train of anomalies occurs along the South Pacific Convergence Zone (SPCZ). This is matched with a strong meridional contrast in the phase of 500 hPa anomalies such that low and high latitudes are out of phase with mid-latitudes. This Pacific/South American (PSA) pattern resembles the Pacific/North American (PNA) pattern, and is thought to play a major role in the transport of El Nino-Southern Oscillation (ENSO) signals from low to high latitudes. Copyright (C) 2000 Royal Meteorological Society.</t>
  </si>
  <si>
    <t>Southampton Oceanog Ctr, James Rennell Div Ocean Circulat &amp; Climate, Southampton SO14 3ZH, Hants, England; Univ Birmingham, Sch Geog &amp; Environm Sci, Birmingham B15 2TT, W Midlands, England</t>
  </si>
  <si>
    <t>NERC National Oceanography Centre; University of Southampton; University of Birmingham</t>
  </si>
  <si>
    <t>Houseago-Stokes, RE (corresponding author), Southampton Oceanog Ctr, James Rennell Div Ocean Circulat &amp; Climate, Southampton SO14 3ZH, Hants, England.</t>
  </si>
  <si>
    <t>Houseago-Stokes, Richenda/0000-0002-7303-7790; McGregor, Glenn/0000-0001-8487-2081</t>
  </si>
  <si>
    <t>10.1002/1097-0088(20000615)20:7&lt;793::AID-JOC502&gt;3.0.CO;2-9</t>
  </si>
  <si>
    <t>329ED</t>
  </si>
  <si>
    <t>WOS:000087892900007</t>
  </si>
  <si>
    <t>Zhou, YF; Liu, CB</t>
  </si>
  <si>
    <t>Ab initio study of ice catalyzation of HOCl plus HCl reaction</t>
  </si>
  <si>
    <t>INTERNATIONAL JOURNAL OF QUANTUM CHEMISTRY</t>
  </si>
  <si>
    <t>ab initio calculations; heterogeneous reactions; catalysis</t>
  </si>
  <si>
    <t>HYDROGEN-CHLORIDE; ANTARCTIC OZONE; CHEMISTRY; DEPLETION; STICKING</t>
  </si>
  <si>
    <t>Experiments proved that the reaction of HOCl + HCl was very slow in the gas phase, but on ice surface it was rapid. In this work the ice catalysis of HOCl + HCl reaction was investigated by using ab initio molecular orbital theory. We applied the I Hartree-Fock self-consistent field and the second-order Moller-Plesset perturbation theory with the basis sets of 6-31G* to the model system. The complexes and transition state were obtained along the reaction with and without the presence of ice surface. By comparing the results, a possible catalyzation mechanism of ice on the reaction is proposed. (C) 2000 John Wiley &amp; Sons, Inc.</t>
  </si>
  <si>
    <t>Shandong Univ, Dept Phys, Jinan 250100, Peoples R China; Shandong Univ, Inst Theoret Chem, Jinan 250100, Peoples R China</t>
  </si>
  <si>
    <t>Shandong University; Shandong University</t>
  </si>
  <si>
    <t>Shandong Univ, Dept Phys, Jinan 250100, Peoples R China.</t>
  </si>
  <si>
    <t>0020-7608</t>
  </si>
  <si>
    <t>1097-461X</t>
  </si>
  <si>
    <t>INT J QUANTUM CHEM</t>
  </si>
  <si>
    <t>Int. J. Quantum Chem.</t>
  </si>
  <si>
    <t>10.1002/(SICI)1097-461X(2000)78:4&lt;281::AID-QUA10&gt;3.0.CO;2-P</t>
  </si>
  <si>
    <t>Chemistry, Physical; Mathematics, Interdisciplinary Applications; Quantum Science &amp; Technology; Physics, Atomic, Molecular &amp; Chemical</t>
  </si>
  <si>
    <t>Chemistry; Mathematics; Physics</t>
  </si>
  <si>
    <t>309NU</t>
  </si>
  <si>
    <t>WOS:000086774900010</t>
  </si>
  <si>
    <t>Smethie, WM; Fine, RA; Putzka, A; Jones, EP</t>
  </si>
  <si>
    <t>Tracing the flow of North Atlantic Deep Water using chlorofluorocarbons</t>
  </si>
  <si>
    <t>WESTERN BOUNDARY CURRENT; DENMARK STRAIT OVERFLOW; LABRADOR SEA-WATER; BAHAMA-OUTER-RIDGE; GULF-STREAM; THERMOHALINE CIRCULATION; EQUATORIAL ATLANTIC; CURRENT CROSSOVER; OCEAN; GREENLAND</t>
  </si>
  <si>
    <t>Chlorofluorocarbon (CFC) and hydrographic data collected in the North Atlantic in the late 1980s and early 1990s are used to confirm and add to earlier work on the large-scale circulation pathways and timescales for the spreading of North Atlantic Deep Water (NADW) components and how these components relate to the hydrographic structure. Throughout the western North Atlantic, high CFC concentrations are coincident with newly formed NADW components of Upper Labrador Sea Water (ULSW), Classical Labrador Sea Water (CLSW), and Overflow Waters (OW). ULSW is marked by a CFC maximum throughout the western subtropical and tropical Atlantic, and CLSW is marked by a CFC maximum north of 38 degrees N in data collected in 1990-1992. Iceland-Scotland Overflow Water (ISOW) splits into two branches in the eastern basin, with one branch entering the western basin where it mixes with Denmark Strait Overflow Water (DSOW) and the densest branch flows southward along the bottom in the eastern basin. DSOW contributes the largest portion of the CFC signal in OW. It is estimated that these NADW components are at 60-75% equilibrium with the CFC concentration in the atmosphere at the time of formation. The large-scale data set confirms that NADW spreads southward by complex pathways involving advection in the Deep Western Boundary Current (DWBC), recirculation in deep gyres, and mixing. Maps of the CFC distribution show that properties within the gyres are relatively homogeneous, particularly for OW, and there is a profound change at the gyre boundaries. The density of the core of ULSW increases in the equatorward direction because of entrainment by overlying northward flowing Upper Circumpolar Water and at the equator, ULSW has the same density as CLSW in the subtropics but is warmer and saltier. The density of OW decreases between the subpolar region and the subtropics. This is caused by the least dense part of OW exiting the subpolar region in the DWBC, while the densest component recirculates in the subpolar basins. Some variability is observed in OW density in the subtropics and tropics because of variability in mixing with Antarctic Bottom Water and changes in the subtropics that are probably related to the transport of different vintages of DSOW. Ages derived from CFC ratios show that the NADW components of northern origin spread throughout the western North Atlantic within 25-30 years. This corresponds to a spreading rate of 1-2 cm s(-1) and is comparable to the time a climate anomaly introduced into the subpolar North Atlantic will take to penetrate the entire western North Atlantic Ocean.</t>
  </si>
  <si>
    <t>Columbia Univ, Lamont Doherty Earth Observ, Palisades, NY 10964 USA; Univ Miami, Rosenstiel Sch Marine &amp; Atmospher Sci, Miami, FL 33149 USA; Bedford Inst Oceanog, Dartmouth, NS B2Y 4A2, Canada; Univ Bremen, Inst Umweltphys, D-28359 Bremen, Germany</t>
  </si>
  <si>
    <t>Columbia University; University of Miami; Bedford Institute of Oceanography; University of Bremen</t>
  </si>
  <si>
    <t>Columbia Univ, Lamont Doherty Earth Observ, Palisades, NY 10964 USA.</t>
  </si>
  <si>
    <t>bsmeth@ldeo.columbia.edu; rfine@rsmas.miami.edu; putzka@physik.uni-bremen.de; jonesp@mar.dfo-mpo.gc.ca</t>
  </si>
  <si>
    <t>C6</t>
  </si>
  <si>
    <t>10.1029/1999JC900274</t>
  </si>
  <si>
    <t>324NB</t>
  </si>
  <si>
    <t>WOS:000087627300026</t>
  </si>
  <si>
    <t>Maia, M; Ackermand, D; Dehghani, GA; Gente, P; Hékinian, R; Naar, D; O'Connor, J; Perrot, K; Morgan, JP; Ramillien, G; Révillon, S; Sabetian, A; Sandwell, D; Stoffers, P</t>
  </si>
  <si>
    <t>The Pacific-Antarctic Ridge-Foundation hotspot interaction:: a case study of a ridge approaching a hotspot</t>
  </si>
  <si>
    <t>mid-oceanic ridge; hotspot; gravity; bathyrmetry</t>
  </si>
  <si>
    <t>MID-ATLANTIC RIDGE; MIGRATING MIDOCEAN RIDGES; PLUME-RIDGE; GRAVITY-ANOMALIES; SEAMOUNT CHAIN; UPPER-MANTLE; 3-DIMENSIONAL ANALYSIS; CRUSTAL THICKNESS; ISOTOPE EVIDENCE; SPREADING CENTER</t>
  </si>
  <si>
    <t>The Foundation hotspot-Pacific-Antarctic Ridge (PAI) system is the best documented case of a fast spreading ridge approaching a hotspot and interacting with it. The morphology, crustal structure inferred from gravity anomalies and the chemical composition of the lavas of the axial area of the PAR show evidence of the influence of the hotspot, that is presently located roughly 35 km west of the spreading ridge axis. Along-axis variation in the Mantle Bouguer anomaly is about 28 mGal, corresponding to a crustal thickening of 1.5 km where the hotspot is nearer to the PAR. Anomalous ridge elevation is 650 m and the along-axis width of the chemical anomaly is 200 km. A comparison of these axial parameters with those derived for other ridge-hotspot systems, suggests that the amount of plume material reaching the ridge axis is smaller for the Foundation-PAR system. This implies a weaker connection between the plume and the ridge. Cumulative effects of a fast spreading rate and of a fast ridge-hotspot relative motion can be responsible for this weak plume-ridge flow. The how from the hotspot may be less efficiently channelled towards the ridge axis when a fast ridge is rapidly moving towards a hotspot. (C) 2000 Elsevier Science B.V. All rights reserved.</t>
  </si>
  <si>
    <t>Univ Bretagne Occidentale, IUEM, CNRS, UMR 6538, Plouzane, France; Univ Kiel, GPI, Kiel, Germany; Univ Hamburg, Inst Geophys, Hamburg, Germany; IFREMER, DRO GM, Plouzane, France; Univ S Florida, St Petersburg, FL 33701 USA; GEOMAR, Kiel, Germany; Univ Calif San Diego, Scripps Inst Oceanog, La Jolla, CA 92093 USA; CNRS, GRGS CNES, Toulouse, France; Univ Rennes, CNRS, UPR 4661, Rennes, France</t>
  </si>
  <si>
    <t>Centre National de la Recherche Scientifique (CNRS); CNRS - National Institute for Earth Sciences &amp; Astronomy (INSU); Universite de Bretagne Occidentale; Institut Universitaire Europeen de la Mer (IUEM); University of Kiel; University of Hamburg; Ifremer; State University System of Florida; University of South Florida; Helmholtz Association; GEOMAR Helmholtz Center for Ocean Research Kiel; University of California System; University of California San Diego; Scripps Institution of Oceanography; Centre National de la Recherche Scientifique (CNRS); Centre National de la Recherche Scientifique (CNRS); Universite de Rennes</t>
  </si>
  <si>
    <t>Univ Bretagne Occidentale, IUEM, CNRS, UMR 6538, Plouzane, France.</t>
  </si>
  <si>
    <t>marcia@univ-brest.fr</t>
  </si>
  <si>
    <t>Maia, Marcia/A-7076-2010; Zhang, Junyuan/P-9292-2018; Revillon, Sidonie/A-7101-2010</t>
  </si>
  <si>
    <t>Revillon, Sidonie/0000-0001-8370-4545; Morgan, Jason/0000-0002-3100-0877; Sandwell, David/0000-0001-5657-8707</t>
  </si>
  <si>
    <t>1872-6151</t>
  </si>
  <si>
    <t>10.1016/S0025-3227(00)00023-2</t>
  </si>
  <si>
    <t>330DH</t>
  </si>
  <si>
    <t>WOS:000087947200005</t>
  </si>
  <si>
    <t>Nakada, M; Kimura, R; Okuno, J; Moriwaki, K; Miura, H; Maemoku, H</t>
  </si>
  <si>
    <t>Late Pleistocene and Holocene melting history of the Antarctic ice sheet derived from sea-level variations</t>
  </si>
  <si>
    <t>sea-level change; glacio-isostasy; antarctic melting history; gravity change; crustal movement</t>
  </si>
  <si>
    <t>GLACIAL-ISOSTATIC-ADJUSTMENT; COMPUTING 3-DIMENSIONAL DEFORMATIONS; U-TH AGES; MANTLE VISCOSITY; SPECTRAL FORMALISM; SURFACE LOADS; BARENTS SEA; YR BP; RECORD; CALIBRATION</t>
  </si>
  <si>
    <t>Spatial and temporal variations of the Late Pleistocene and Holocene sea levels provide important constraints on the melting history of the major ice sheets. In this study, we have examined the sea-level variations at eight sites along the coast of Antarctica to investigate the melting history of Antarctic ice sheet complexes. Comparisons of sea-level variations between observations and predictions due to glacio-hydro-isostatic adjustment suggest that the ice thicknesses removed from the Last Glacial Maximum (LGM) around the Weddell Sea are significantly thicker than those around the Ross Embayment. Sea-level observations also indicate that CLIMAP derived models predict too much relative sea-level change and that consequently ice mass change along the coast has to be scaled down. Improvement of the Late Pleistocene Antarctic ice model is required to evaluate more accurate predictions of present-day geophysical observables associated with this history. Thus, these more accurate predictions can then be subtracted from observables, and the residual field can be analyzed to constrain ongoing mass changes from the ice sheet. We therefore predicted present-day geophysical observables such as the rate of change of solid-surface gravity and crustal movement. These geophysical observables based on the ice models constructed from observed sea-level variations are significantly different from those based on previous models. On the other hand, detailed sea-level observations around Syowa indicate the existence of a sea-level highstand of about 10 m around 40 kyr BP. To investigate these sea-level observations, we have performed preliminary numerical calculations. Comparisons between these observations and predictions indicate the synchronous melting of the northern and southern ice sheets, suggesting a strong link between the melting histories of both polar ice sheets. (C) 2000 Elsevier Science B.V. All rights reserved.</t>
  </si>
  <si>
    <t>Kyushu Univ 33, Grad Sch Sci, Dept Earth &amp; Planetary Sci, Higashi Ku, Fukuoka, Japan; Natl Inst Polar Res, Tokyo 1738515, Japan; Yamaguchi Univ, Dept Geog, Yamaguchi 7530841, Japan</t>
  </si>
  <si>
    <t>Kyushu University; Research Organization of Information &amp; Systems (ROIS); National Institute of Polar Research (NIPR) - Japan; Yamaguchi University</t>
  </si>
  <si>
    <t>Nakada, M (corresponding author), Kyushu Univ 33, Grad Sch Sci, Dept Earth &amp; Planetary Sci, Higashi Ku, 6-10-1 Hakozaki, Fukuoka, Japan.</t>
  </si>
  <si>
    <t>10.1016/S0025-3227(00)00018-9</t>
  </si>
  <si>
    <t>WOS:000087947200006</t>
  </si>
  <si>
    <t>Murray, T; Stuart, GW; Miller, PJ; Woodward, J; Smith, AM; Porter, PR; Jiskoot, H</t>
  </si>
  <si>
    <t>Glacier surge propagation by thermal evolution at the bed</t>
  </si>
  <si>
    <t>GROUND-PENETRATING RADAR; SUBPOLAR GLACIERS; SVALBARD; ICE; BAKANINBREEN; RESOLUTION; FLOW; SPITSBERGEN; SEDIMENT; DYNAMICS</t>
  </si>
  <si>
    <t>Bakaninbreen, southern Svalbard, began a prolonged surge during 1985. In 1986, an internal reflecting horizon on radio echo sounding data was interpreted to show that the position of the surge front coincided with a transition between areas of warm (unfrozen) and cold (frozen) bed. Ground-penetrating radar lines run in 1996 and 1998 during early quiescence show that the basal region of the g-lacier is characterized by a strong reflection, interpreted as the top of a thick layer of sediment-rich basal ice. Down glacier of the present surge front, features imaged beneath the basal reflection are interpreted as the bottom of the basal ice layer, the base of a permafrost layer, and local ice lenses. This indicates that this region of the bed is cold. Up glacier of the surge front, a scattering zone above the basal reflection is interpreted as warm ice. There is no evidence for this warm zone down glacier of the surge front, nor do we see basal permafrost up glacier of it. Thus, as in early surge phase, the location of the surge front is now at the transition between warm and cold ice at the glacier bed. We suggest that the propagation of the front is associated with this basal thermal transition throughout the surge. Because propagation of the front occurs rapidly and generates only limited heat, basal motion during fast flow must have been restricted to a,thin layer at the bed and occurred by sliding or deformation localized at the ice-bed interface.</t>
  </si>
  <si>
    <t>Univ Leeds, Sch Geog, Leeds LS2 9JT, W Yorkshire, England; Univ Leeds, Sch Earth Sci, Leeds LS2 9JT, W Yorkshire, England; British Antarctic Survey, NERC, Div Phys Sci, Cambridge CB3 0ET, England</t>
  </si>
  <si>
    <t>University of Leeds; University of Leeds; UK Research &amp; Innovation (UKRI); Natural Environment Research Council (NERC); NERC British Antarctic Survey</t>
  </si>
  <si>
    <t>Univ Leeds, Sch Geog, Leeds LS2 9JT, W Yorkshire, England.</t>
  </si>
  <si>
    <t>T.Murray@geog.leeds.ac.uk; G.Stuart@earth.leeds.ac.uk; amsm@bas.ac.uk</t>
  </si>
  <si>
    <t>Woodward, John/I-1046-2013</t>
  </si>
  <si>
    <t>Murray, Tavi/0000-0001-6714-6512; Woodward, John/0000-0002-4980-4080</t>
  </si>
  <si>
    <t>JUN 10</t>
  </si>
  <si>
    <t>B6</t>
  </si>
  <si>
    <t>10.1029/2000JB900066</t>
  </si>
  <si>
    <t>324NJ</t>
  </si>
  <si>
    <t>WOS:000087628000021</t>
  </si>
  <si>
    <t>Ibáñez, JM; Del Pezzo, E; Almendros, J; La Rocca, M; Alguacil, G; Ortiz, R; García, A</t>
  </si>
  <si>
    <t>Seismovolcanic signals at Deception Island volcano, Antarctica:: Wave field analysis and source modeling</t>
  </si>
  <si>
    <t>SOUTH-SHETLAND-ISLANDS; FLUID-DRIVEN CRACK; LONG-PERIOD EVENTS; STROMBOLI-VOLCANO; TREMOR; ARRAY; EARTHQUAKES; FREQUENCY; ERUPTION; LOCATION</t>
  </si>
  <si>
    <t>The seismovolcanic signals associated with the volcanic activity of Deception Island (Antarctica), recorded during three Antarctic summers (1994- 1995, 1995-1996 and 1996-1997), are analyzed using a dense small-aperture (500 m) seismic array. The visual and spectral classification of the seismic events shows the existence of long-period and hybrid isolated seismic events, and of low-frequency, quasi-monochromatic and spasmodic continuous tremors, All spectra have the highest amplitudes in the frequency band between 1 and 4 Hz, while hybrids and spasmodic tremors have also significant amplitudes in the high-frequency band (4-10 Hz). The array analysis indicates that almost all the well-correlated low-frequency signals share similar array parameters (slowness and back azimuth) and have the same source area, close to the array site. The polarization analysis shows that phases at high-frequency are mostly composed of P waves, and those phases dominated by low frequencies can be interpreted as surface waves. No clear shear waves are evidenced. From the energy evaluation, we have found that the reduced displacement values for surface and body waves are confined in a narrow interval. Volcano-tectonic seismicity is located close to the array, at a depth shallower than 1 km. The wave-field properties of the seismovolcanic signals allow us to assume a unique source model, a shallow resonating fluid-filled crack system at a depth of some hundreds of meters. All of the seismic activity is interpreted as the response of a reasonably stable stationary geothermal process. The differences observed in the back azimuth between low and high frequencies are a near-field effect. A few episodes of the degassification process in an open conduit were observed and modeled with a simple organ pipe.</t>
  </si>
  <si>
    <t>Univ Granada, Inst Andaluz Geofis, E-18071 Granada, Spain; Osservat Vesuviano, I-80124 Naples, Italy; CSIC, Museo Nacl Ciencias Nat, E-28006 Madrid, Spain; Univ Granada, Dept Fis Teor &amp; Cosmos, E-18071 Granada, Spain; Univ Salerno, Dipartimento Fis, I-84100 Salerno, Italy</t>
  </si>
  <si>
    <t>University of Granada; Consejo Superior de Investigaciones Cientificas (CSIC); CSIC - Museo Nacional de Ciencias Naturales (MNCN); University of Granada; University of Salerno</t>
  </si>
  <si>
    <t>Univ Granada, Inst Andaluz Geofis, Campus Cartuja S-N, E-18071 Granada, Spain.</t>
  </si>
  <si>
    <t>ibanez@iag.ugr.es; delpezzo@osve.unina.it; alm@iag.ugr.es; mlarocca@osve.unina.it; aliciag@mncn.csic.es; menro514@mncn.csic.es; aliciag@mncn.csic.es</t>
  </si>
  <si>
    <t>IBANEZ, JESUS M/G-9910-2019; Del Pezzo, Edoardo/CAJ-4984-2022; Almendros, Javier/M-2468-2014; Del Pezzo, Edoardo/A-7492-2011</t>
  </si>
  <si>
    <t>IBANEZ, JESUS M/0000-0002-9846-8781; Almendros, Javier/0000-0001-5936-6160; Alguacil De La Blanca, Angel Gerardo/0000-0002-0055-7365; Del Pezzo, Edoardo/0000-0002-6981-5967</t>
  </si>
  <si>
    <t>10.1029/2000JB900013</t>
  </si>
  <si>
    <t>WOS:000087628000045</t>
  </si>
  <si>
    <t>Kanfoush, SL; Hodell, DA; Charles, CD; Guilderson, TP; Mortyn, PG; Ninnemann, US</t>
  </si>
  <si>
    <t>Millennial-scale instability of the antarctic ice sheet during the last glaciation</t>
  </si>
  <si>
    <t>YOUNGER DRYAS EVENT; NORTH-ATLANTIC; SEA-LEVEL; HEINRICH EVENTS; ICEBERG DISCHARGES; CLIMATE OSCILLATIONS; GLOBAL CLIMATE; GREENLAND ICE; RECORD; OCEAN</t>
  </si>
  <si>
    <t>Records of ice-rafted detritus (IRD) concentration in deep-sea cores from the southeast Atlantic Ocean reveal millennial-scale pulses of IRD delivery between 20,000 and 74,000 years ago. Prominent IRD Layers correlate across the Polar Frontal Zone, suggesting episodes of Antarctic Ice Sheet instability. Carbon isotopes (delta(13)C) of benthic foraminifers, a proxy of deepwater circulation, reveal that South Atlantic IRD events coincided with strong increases in North Atlantic Deep Water (NADW) production and inferred warming (interstadials) in the high-latitude North Atlantic. Sea level rise or increased NADW production associated with strong interstadials may have resulted in destabilization of grounded ice shelves and possible surging in the Weddell Sea region of West Antarctica.</t>
  </si>
  <si>
    <t>Univ Florida, Dept Geol Sci, Gainesville, FL 32611 USA; Univ Calif San Diego, Scripps Inst Oceanog, La Jolla, CA 92093 USA; Univ Calif Lawrence Livermore Natl Lab, Livermore, CA 94550 USA; Harvard Univ, Dept Earth &amp; Planetary Sci, Cambridge, MA 02138 USA</t>
  </si>
  <si>
    <t>State University System of Florida; University of Florida; University of California System; University of California San Diego; Scripps Institution of Oceanography; University of California System; United States Department of Energy (DOE); Lawrence Livermore National Laboratory; Harvard University</t>
  </si>
  <si>
    <t>Kanfoush, SL (corresponding author), Univ Florida, Dept Geol Sci, Gainesville, FL 32611 USA.</t>
  </si>
  <si>
    <t>; Mortyn, P. Graham/I-3860-2015</t>
  </si>
  <si>
    <t>Guilderson, Thomas/0000-0001-9371-7059; Hodell, David/0000-0001-8537-1588; Mortyn, P. Graham/0000-0002-9473-4309</t>
  </si>
  <si>
    <t>JUN 9</t>
  </si>
  <si>
    <t>10.1126/science.288.5472.1815</t>
  </si>
  <si>
    <t>322HH</t>
  </si>
  <si>
    <t>WOS:000087503800047</t>
  </si>
  <si>
    <t>Structure and reactivity of dinitrogen pentoxide in small water clusters studied by electronic structure calculations</t>
  </si>
  <si>
    <t>ANTARCTIC OZONE DEPLETION; NITRIC-ACID TRIHYDRATE; CHLORINE NITRATE; AB-INITIO; GAS-PHASE; ICE SURFACES; STRATOSPHERIC CHEMISTRY; HETEROGENEOUS REACTIONS; INFRARED-SPECTRUM; HYDROGEN-CHLORIDE</t>
  </si>
  <si>
    <t>High level electronic structure calculations have been used to investigate the mechanism of hydrolysis of dinitrogen peroxide in small neutral water clusters containing one to six solvating water molecules. The calculations clarify some of the current uncertainties in the hydrolysis mechanism. Increasing the size of the solvating water cluster leads to strong polarization and distortion of the N2O5 entity producing incipient (but not preexisting) NO2+, thus enhancing the electrophilicity of the nitrogen atom. The reaction mechanism involves nucleophilic attack of H2O on strongly ionized N2O5 followed by proton transfer to a neighboring water and does not involve the H2ONO2+NO3- ion pair. The solvating waters actively participate in the hydrolysis mechanism. The hydrolysis products, molecular nitric acid (HONO2) and ionized (H3O+NO3-) nitric acid are found to be stable in two different types of structures containing five and six water molecules. For the cluster containing six water molecules, which has a structure related to ice, N2O5 is hydrolyzed to yield H3O+NO3- and HONO2 with essentially no barrier. The calculations thus predict, that the hydrolysis of N2O5 on PSC ice aerosols can proceed spontaneously in small neutral water clusters. Implications for heterogeneous stratospheric chemistry are discussed.</t>
  </si>
  <si>
    <t>JUN 8</t>
  </si>
  <si>
    <t>10.1021/jp994279l</t>
  </si>
  <si>
    <t>347RT</t>
  </si>
  <si>
    <t>WOS:000088943500021</t>
  </si>
  <si>
    <t>Aubin, T; Jouventin, P; Hildebrand, C</t>
  </si>
  <si>
    <t>Penguins use the two-voice system to recognize each other</t>
  </si>
  <si>
    <t>PROCEEDINGS OF THE ROYAL SOCIETY B-BIOLOGICAL SCIENCES</t>
  </si>
  <si>
    <t>two-voice theory; vocal recognition; penguins</t>
  </si>
  <si>
    <t>INDIVIDUAL RECOGNITION; SONG; SOUND; COMMUNICATION; VOCALIZATIONS; INFORMATION; PARENTS; BIRDS</t>
  </si>
  <si>
    <t>The sound-producing structure in birds is the syrinx, which is usually a two-part organ located at the junction of the bronchi. As each branch of the syrinx produces sound independently, many birds have two acoustic sources. Thirty years ago, we had anatomical, physiological and acoustical evidence of this two-voice phenomenon but no function was known. In songbirds, often these two voices with their respective harmonics are not activated simultaneously but they are obvious in large penguins and generate a beat pattern which varies between individuals. The emperor penguin breeds during the Antarctic winter, incubating and carrying its egg on its feet. Without the topographical cue of a nest, birds identify each other only by vocal means when switching duties during incubation or chick rearing. To test whether the two-voice system contains the identity code, we played back the modified call of their mate to both adults and also the modified call of their parents to chicks. Both the adults and the chicks replied to controls (two voices) but not to modified signals (one voice being experimentally suppressed). Our experiments demon strate that the beat generated by the interaction of these two fundamental frequencies conveys information about individual identity and also propagates well through obstacles, being robust to sound degradation through the medium of bodies in a penguin colony. The two-voice structure is also clear in the call of other birds such as the king penguin, another non-nesting species, but not in the 14 other nesting penguins. Mie concluded that the two-voice phenomenon functions as an individual recognition system in species using few if any landmarks to meet. In penguins, this coding process, increasing the call complexity and resisting sound degradation, has evolved in parallel with the loss of territoriality.</t>
  </si>
  <si>
    <t>Univ Paris 11, URA 1491 CNRS, Lab Mecanismes Commun, NAM, F-91400 Orsay, France; Ctr Ecol Fonct &amp; Evolut, UPR 9056 CNRS, F-34293 Montpellier, France; Ctr Etud Biol Chize, UPR 4701 CNRS, F-79360 Villiers En Bois, France</t>
  </si>
  <si>
    <t>Universite Paris Saclay; Universite PSL; Ecole Pratique des Hautes Etudes (EPHE); Institut Agro; Montpellier SupAgro; CIRAD; Centre National de la Recherche Scientifique (CNRS); Institut de Recherche pour le Developpement (IRD); Universite Paul-Valery; Universite de Montpellier</t>
  </si>
  <si>
    <t>Aubin, T (corresponding author), Univ Paris 11, URA 1491 CNRS, Lab Mecanismes Commun, NAM, F-91400 Orsay, France.</t>
  </si>
  <si>
    <t>thierry.aubin@ibaic.u-psud.fr</t>
  </si>
  <si>
    <t>ROYAL SOC</t>
  </si>
  <si>
    <t>6-9 CARLTON HOUSE TERRACE, LONDON SW1Y 5AG, ENGLAND</t>
  </si>
  <si>
    <t>0962-8452</t>
  </si>
  <si>
    <t>P ROY SOC B-BIOL SCI</t>
  </si>
  <si>
    <t>Proc. R. Soc. B-Biol. Sci.</t>
  </si>
  <si>
    <t>JUN 7</t>
  </si>
  <si>
    <t>10.1098/rspb.2000.1112</t>
  </si>
  <si>
    <t>Biology; Ecology; Evolutionary Biology</t>
  </si>
  <si>
    <t>Life Sciences &amp; Biomedicine - Other Topics; Environmental Sciences &amp; Ecology; Evolutionary Biology</t>
  </si>
  <si>
    <t>324JA</t>
  </si>
  <si>
    <t>WOS:000087617500003</t>
  </si>
  <si>
    <t>Trial by ice: The Antarctic journals of John King Davis</t>
  </si>
  <si>
    <t>Scott Polar Res Inst, Cambridge, England</t>
  </si>
  <si>
    <t>Headland, RK (corresponding author), Scott Polar Res Inst, Cambridge, England.</t>
  </si>
  <si>
    <t>SUM</t>
  </si>
  <si>
    <t>492GC</t>
  </si>
  <si>
    <t>WOS:000172159200019</t>
  </si>
  <si>
    <t>Baughman, TH</t>
  </si>
  <si>
    <t>The ENDURANCE: Shackleton's legendary Antarctic expedition</t>
  </si>
  <si>
    <t>Benedictine Coll, Atchison, KS 66002 USA</t>
  </si>
  <si>
    <t>Baughman, TH (corresponding author), Benedictine Coll, Atchison, KS 66002 USA.</t>
  </si>
  <si>
    <t>WOS:000172159200024</t>
  </si>
  <si>
    <t>Rudels, B; Meyer, R; Fahrbach, E; Ivanov, VV; Osterhus, S; Quadfasel, D; Schauer, U; Tverberg, V; Woodgate, RA</t>
  </si>
  <si>
    <t>Water mass distribution in Fram Strait and over the Yermak Plateau in summer 1997</t>
  </si>
  <si>
    <t>oceanography : general (Arctic and Antarctic oceanography; water masses); oceanography : physical (general circulation)</t>
  </si>
  <si>
    <t>WEST SPITSBERGEN CURRENT; SOUTHERN CANADIAN BASIN; UPPER ARCTIC-OCEAN; DEEP WATERS; FRESH-WATER; CIRCULATION; SEA; HALOCLINE; GREENLAND; ATLANTIC</t>
  </si>
  <si>
    <t>The water mass distribution in northern Fram Strait and over the Yermak Plateau in summer 1997 is described using CTD data from two cruises in the area. The West Spitsbergen Current was found to split, one part recirculated towards the west, while the other part, on entering the Arctic Ocean separated into two branches. The main inflow of Atlantic Water followed the Svalbard continental slope eastward, while a second, narrower, branch stayed west and north of the Yermak Plateau. The water column above the southeastern flank of the Yermak Plateau was distinctly colder and less saline than the two inflow branches. Immediately west of the outer inflow branch comparatively high temperatures in the Atlantic Layer suggested that a part of the extraordinarily warm Atlantic Water, observed in the boundary current in the Eurasian Basin in the early 1990s, was now returning, within the Eurasian Basin, toward Fram Strait. The upper layer west of the Yermak Plateau was cold, deep and comparably saline, similar to what has recently been observed in the interior Eurasian Basin. Closer to the Greenland continental slope the salinity of the upper layer became much lower, and the temperature maximum of the Atlantic Layer was occasionally below 0.5 degrees C, indicating water masses mainly derived from the Canadian Basin. This implies that the warm pulse of Atlantic Water had not yet made a complete circuit around the Arctic Ocean. The Atlantic Water of the West Spitsbergen Current recirculating within the strait did not extend as far towards Greenland as in the 1980s, leaving a broader passage for waters from the Atlantic and intermediate layers, exiting the Arctic Ocean. A possible interpretation is that the circulation pattern alternates between a strong recirculation of the West Spitsbergen Current in the strait, and a larger exchange of Atlantic Water between the Nordic Seas and the inner parts of the Arctic Ocean.</t>
  </si>
  <si>
    <t>Finnish Inst Marine Res, FIN-00931 Helsinki, Finland; Alfred Wegener Inst Polar &amp; Marine Res, D-27515 Bremerhaven, Germany; Arctic &amp; Antarctic Res Inst, Ocean Atmosphere Dept, St Petersburg 199397, Russia; Univ Bergen, Inst Geophys, N-5007 Bergen, Norway; Univ Copenhagen, Niels Bohr Inst Astron Phys &amp; Geophys, DK-2100 Copenhagen, Denmark; Univ Courses Svalbard, N-9170 Longyearbyen, Norway; Univ Washington, Appl Phys Lab, Seattle, WA 98105 USA</t>
  </si>
  <si>
    <t>Helmholtz Association; Alfred Wegener Institute, Helmholtz Centre for Polar &amp; Marine Research; Arctic &amp; Antarctic Research Institute; University of Bergen; University of Copenhagen; Niels Bohr Institute; University of Washington; University of Washington Seattle</t>
  </si>
  <si>
    <t>Finnish Inst Marine Res, Lyypekinkuja 3A, FIN-00931 Helsinki, Finland.</t>
  </si>
  <si>
    <t>rudels@fimr.fi</t>
  </si>
  <si>
    <t>Ivanov, Vladimir/J-5979-2014; Tverberg, Vigdis/AAC-8801-2021; Ivanov, Vladimir/AAX-6830-2020</t>
  </si>
  <si>
    <t>Ivanov, Vladimir/0000-0003-2569-6027; Osterhus, Svein/0000-0001-9915-2685; Tverberg, Vigdis/0000-0001-8065-9988</t>
  </si>
  <si>
    <t>JUN</t>
  </si>
  <si>
    <t>10.1007/s00585-000-0687-5</t>
  </si>
  <si>
    <t>336TJ</t>
  </si>
  <si>
    <t>WOS:000088318800010</t>
  </si>
  <si>
    <t>Cooper, J; Woehler, E; Belbin, L</t>
  </si>
  <si>
    <t>Selecting Antarctic specially protected areas: Important bird areas can help</t>
  </si>
  <si>
    <t>Univ Cape Town, ZA-7700 Rondebosch, South Africa; Australian Antarctic Div, Kingston, Tas, Australia</t>
  </si>
  <si>
    <t>University of Cape Town; Australian Antarctic Division</t>
  </si>
  <si>
    <t>Cooper, J (corresponding author), Univ Cape Town, ZA-7700 Rondebosch, South Africa.</t>
  </si>
  <si>
    <t>Belbin, Lee/0000-0001-8900-6203; Woehler, Eric/0000-0002-1125-0748</t>
  </si>
  <si>
    <t>10.1017/S095410200000016X</t>
  </si>
  <si>
    <t>327CL</t>
  </si>
  <si>
    <t>WOS:000087775400001</t>
  </si>
  <si>
    <t>Doran, PT; Wharton, RA; Lyons, WB; Des Marais, DJ; Andersen, DT</t>
  </si>
  <si>
    <t>Sedimentology and geochemistry of a perennially ice-covered epishelf lake in Bunger Hills Oasis, East Antarctica</t>
  </si>
  <si>
    <t>Antarctic; geochemistry; isotopes; lake; radiocarbon; sedimentology</t>
  </si>
  <si>
    <t>MCMURDO DRY VALLEYS; HOARE; SEDIMENTATION; DEGLACIATION; LIFE; SNOW</t>
  </si>
  <si>
    <t>A process-oriented study was carried out in White Smoke lake, Bunger Hills, East Antarctica, a perennially ice-covered (1.8 to 2.8 m thick) epishelf (tidally-forced) lake. The lake water has a low conductivity and is relatively well mixed. Sediments are transferred from the adjacent glacier to the lake when glacier ice surrounding the sediment is sublimated at the surface and replaced by accumulating ice from below. The lake bottom at the west end of the lake is mostly rocky with a scant sediment cover. The east end contains a thick sediment profile. Grain size and delta(13)C increase with sediment depth, indicating a more proximal glacier ill the past. Sedimentary Pb-210 and Cs-137 signals are exceptionally strong, probably a result of the focusing effect of the large glacial catchment area. The post-bomb and pre-bomb radiocarbon reservoirs are c. 725 C-14 yr and c. 1950 C-14 yr, respectively. Radiocarbon dating indicates that the east end of the lake is &gt;3 ka sp, while photographic evidence and the absence of sediment cover indicate that the west end has formed only over the last century. Our results indicate that the southern ice edge of Bunger Hills has been relatively stable with only minor fluctuations (on the scale of hundreds of metres) over the last 3000 years.</t>
  </si>
  <si>
    <t>Univ Illinois, Chicago, IL 60607 USA; Univ Nevada, Desert Res Inst, Ctr Biol Sci, Reno, NV 89506 USA; Univ Alabama, Dept Geol, Tuscaloosa, AL 35487 USA; NASA, Ames Res Ctr, Moffett Field, CA 94035 USA</t>
  </si>
  <si>
    <t>University of Illinois System; University of Illinois Chicago; University of Illinois Chicago Hospital; Nevada System of Higher Education (NSHE); University of Nevada Reno; Desert Research Institute NSHE; University of Alabama System; University of Alabama Tuscaloosa; National Aeronautics &amp; Space Administration (NASA); NASA Ames Research Center</t>
  </si>
  <si>
    <t>Doran, PT (corresponding author), Univ Illinois, 845 W Taylor St, Chicago, IL 60607 USA.</t>
  </si>
  <si>
    <t>Andersen, Dale T/B-4816-2013</t>
  </si>
  <si>
    <t>Andersen, Dale T/0000-0001-8827-1259</t>
  </si>
  <si>
    <t>10.1017/S0954102000000171</t>
  </si>
  <si>
    <t>WOS:000087775400002</t>
  </si>
  <si>
    <t>Jia, GG; Triulzi, C; Nonnis Marzano, F; Belli, M; Vaghi, M</t>
  </si>
  <si>
    <t>The fate of plutonium, 241Am, 90Sr and 137Cs in the Antarctic ecosystem</t>
  </si>
  <si>
    <t>Antarctica; Am-241; Cs-137; Pu-238; Pu-239; Pu-240; Sr-90</t>
  </si>
  <si>
    <t>ITALIAN BASE; VERTICAL-DISTRIBUTION; RADIONUCLIDES; ENVIRONMENT; SEDIMENTS; NORTHERN; SOILS; SEA</t>
  </si>
  <si>
    <t>A radioecological survey around Terra Nova Bay showed that Pu239+240, Pu-238, (241)ALm, Sr-90 and Cs-137 activities were detectable in nearly all the samples. The Pu239+240 and Am-241 concentrations in seawater were slightly lower than those in the northern Pacific Ocean. The activity level of Pu239+240, Am-241 and (CS)-C-137 in Antarctic sediments (Ross Sea) was c. 5-20 times lower than in northern Adriatic sediments (Mediterranean Sea), but the Pu-238 activities were relatively high. The Sr-90 concentrations in all the sediment samples from both the Ross and Adriatic seas tended to be low which might be due to an easier exchange of Sr-90 in seawater. On the other hand, high concentrations were detected in Antarctic mosses, lichens and algae and their activity levels are comparable to those in central Italy. The radionuclide ratio analyses show that the major part of Pu239+240, Am-241, Sr-90 and Cs-137 is the result of nuclear weapon tests. A higher Am-241/Pu239+240 ratio might be due to the fallout of earlier atmospheric nuclear tests. The (Pu239+240Pu)-Pu-238 ratio in the Antarctic matrices is about seven times higher than in the Northern Hemisphere and this could suggest that the major part of Pu-238 originated from the SNAP-9A satellite accident.</t>
  </si>
  <si>
    <t>China Inst Atom Energy, Beijing, Peoples R China; Univ Parma, Dept Evolut &amp; Funct Biol, I-43100 Parma, Italy; Natl Agcy Environm Protect, I-00144 Rome, Italy</t>
  </si>
  <si>
    <t>China Institute of Atomic Energy; University of Parma</t>
  </si>
  <si>
    <t>China Inst Atom Energy, POB 275-83, Beijing, Peoples R China.</t>
  </si>
  <si>
    <t>MArzano, Francesco Nonnis/L-1025-2016</t>
  </si>
  <si>
    <t>MArzano, Francesco Nonnis/0000-0001-5764-3515</t>
  </si>
  <si>
    <t>10.1017/S0954102000000183</t>
  </si>
  <si>
    <t>WOS:000087775400003</t>
  </si>
  <si>
    <t>McMahon, CR; Burton, HR; Bester, MN</t>
  </si>
  <si>
    <t>Weaning mass and the future survival of juvenile southern elephant seals, Mirounga leonina, at Macquarie Island</t>
  </si>
  <si>
    <t>condition; maternal expenditure; southern elephant seal; survival; wean mass</t>
  </si>
  <si>
    <t>ANTARCTIC FUR SEALS; PARENTAL INVESTMENT; MATERNAL INVESTMENT; HALICHOERUS-GRYPUS; GROWTH; LACTATION; PUPS; CARE; REPRODUCTION; ENERGETICS</t>
  </si>
  <si>
    <t>Seals that survived their first year were on average 2% and 4% heavier at birth and at weaning than the non-survivors. First year survival rates calculated for weaners over 135 kg weaning masses showed these weaners had higher survival rates than those less than 95 kg at weaning (71.55% and 54.15% respectively). Heavy weaners had greater fat reserves than light weaners and gained relatively more mass during lactation. Size, and therefore condition at weaning, influences first year survival.</t>
  </si>
  <si>
    <t>Australian Antarctic Div, Kingston, Tas 7050, Australia; Univ Pretoria, Mammal Res Inst, Dept Zool &amp; Entomol, ZA-0002 Pretoria, South Africa</t>
  </si>
  <si>
    <t>Australian Antarctic Division; University of Pretoria</t>
  </si>
  <si>
    <t>McMahon, CR (corresponding author), Australian Antarctic Div, Channel Highway, Kingston, Tas 7050, Australia.</t>
  </si>
  <si>
    <t>Bester, Marthán N/E-5387-2010; McMahon, Clive R/D-5713-2013</t>
  </si>
  <si>
    <t>10.1017/S0954102000000195</t>
  </si>
  <si>
    <t>WOS:000087775400004</t>
  </si>
  <si>
    <t>Rankin, AM; Wolff, EW</t>
  </si>
  <si>
    <t>Ammonium and potassium in snow around an emperor penguin colony</t>
  </si>
  <si>
    <t>ammonium; Antarctic; emperor penguin; potassium; snow</t>
  </si>
  <si>
    <t>EASTERN WEDDELL SEA; ICE CORE; AEROSOL</t>
  </si>
  <si>
    <t>Snow samples taken at various distances from the emperor penguin (Aptenodytes forsteri) colony near Halley station were analysed by ion chromatography. Extremely high ammonium concentrations were encountered at the colony itself, but fell off sharply with distance from the colony, reaching background levels within a few kilometres of the colony. A seasonal effect was also seen, with the highest concentrations found in spring when the colony was at its most active. Levels of potassium and other sea-salt ions were also elevated near the colony. The ratio of sodium to potassium was lower than that found in bulk seawater, and closer to that found in the penguin's food source, indicating that the increased concentrations are due to emissions from the penguins and not merely to the proximity of open seawater to the site. The colony thus has a significant effect on the composition of the nearby snow, but this effect is strongly localised and is not likely to significantly influence snow chemistry at inland ice core drilling sites.</t>
  </si>
  <si>
    <t>Rankin, AM (corresponding author), British Antarctic Survey, NERC, Madingley Rd,High Cross, Cambridge CB3 0ET, England.</t>
  </si>
  <si>
    <t>10.1017/S0954102000000201</t>
  </si>
  <si>
    <t>WOS:000087775400005</t>
  </si>
  <si>
    <t>Riaux-Gobin, C; Tréguer, P; Poulin, M; Vétion, G</t>
  </si>
  <si>
    <t>Nutrients, algal biomass and communities in land-fast ice and seawater off Adelie Land (Antarctica)</t>
  </si>
  <si>
    <t>annual land-fast ice; nutrients; phytoplankton; pigment biomass; sea ice microalgae</t>
  </si>
  <si>
    <t>SEA-ICE; MICROBIAL COMMUNITIES; MCMURDO-SOUND; HIGH-RESOLUTION; PLATELET ICE; WATER COLUMN; NERITIC AREA; WEDDELL SEA; PHYTOPLANKTON; BACTERIOPLANKTON</t>
  </si>
  <si>
    <t>Land-fast ice in the vicinity of Adelie Land was sampled during spring 1995, The ice was annual, thin, with no consistent snow cover. and exposed to oceanic conditions. Temporal and spatial variations of the vertical pigment distribution were studied in relation to environmental factors, during the break up of the ice. Different levels were sampled in the congelation ice and the platelet ice-like layer (PLI). Under-ice water and open water masses were also sampled. The algal biomass was greater in the PLI (24 +/- 14 mu g ch1 a l(-1) offshore and up to 9 mg chi a l(-1) near-shore). than in the under-ice water, and fell to 0.9 +/- 0.64 mu g ch1 a l(-1) open water masses. Homogenous ion pigment concentrations were detected in the upper levels of congelation ice. A gradient was identified along a 7 km seaward transect, sampled in November with the lowest biomass offshore. The integrated pigment concentrations in fast ice reached very high levels (&gt;500 mg ch1 a m(-2) near the coast and 0.8 mg m(-2) offshore), with apparently no relationship with either the ice thickness or snow cover. In the congelation ice nutrient concentrations were lon and their distribution homogenous. whereas in the PLI high concentrations of nitrate (up to 100-300 mu M NO3-) and silicic acid [30-100 mu M Si(OH)(4)] were detected, often related to high pigment concentrations and proximity to islands. The sea ice algae communities were diverse, but mostly composed of chain-forming and tube-dwelling pennate diatoms (Amphiprora, Berkeleya, Nitzschia and Navicula). Cell densities in PLI reached up to 10(10) cells l(-1). At very low biomass and cell densities (2 10(4) cells l(-1)) the phytoplankton also had a low diversity; some species were similar to those of the PLI. such as Navicula glaciei but other were typically planktonic (Chaetoceros), At sea ice break-up it is estimated that a significant proportion of particulate matter (up to 0.5 g ch1 a m(-2) near-shore) was transferred to the underlying water masses (on an average 15 t POC km(-1) shoreline).</t>
  </si>
  <si>
    <t>Lab Arago, CNRS, UMR 7621, Lab Oceanog Biol, F-66651 Banyuls sur Mer, France; Univ Bretagne Occidentale, Technopole Brest Iroise, Inst Univ Europeen Mer, CNRS,UMR 6539, F-29280 Plouzane, France; Canadian Museum Nat, Div Rech, Ottawa, ON K1P 6P4, Canada</t>
  </si>
  <si>
    <t>Centre National de la Recherche Scientifique (CNRS); CNRS - National Institute for Earth Sciences &amp; Astronomy (INSU); Centre National de la Recherche Scientifique (CNRS); Ifremer; Institut de Recherche pour le Developpement (IRD); Universite de Bretagne Occidentale; Institut Universitaire Europeen de la Mer (IUEM); CNRS - Institute of Ecology &amp; Environment (INEE)</t>
  </si>
  <si>
    <t>Riaux-Gobin, C (corresponding author), Lab Arago, CNRS, UMR 7621, Lab Oceanog Biol, F-66651 Banyuls sur Mer, France.</t>
  </si>
  <si>
    <t>Treguer, Paul/H-6064-2012</t>
  </si>
  <si>
    <t>10.1017/S0954102000000213</t>
  </si>
  <si>
    <t>WOS:000087775400006</t>
  </si>
  <si>
    <t>Roberts, D; McMinn, A; Zwartz, D</t>
  </si>
  <si>
    <t>An initial palaeosalinity history of Jaw Lake, Bunger Hills based on a diatom-salinity transfer function applied to sediment cores</t>
  </si>
  <si>
    <t>Antarctica; diatoms; palaeosalinity; limnology; palaeolimnology; Bunger Hills</t>
  </si>
  <si>
    <t>VESTFOLD HILLS; EAST ANTARCTICA; ACE LAKE; DEGLACIATION; ASSEMBLAGES; WATER</t>
  </si>
  <si>
    <t>Two sediment cores taken from Jaw lake (Bunger Hills, East Antarctica) were analysed for diatom composition and abundance. A diatom-salinity transfer function developed for the nearby Vestfold Hills was used to determine palaeosalinity reconstructions from the assemblages preserved in each of the cores. There is a large step-wise decrease in salinity in the second core from at least c. 4000 to c. 2000 uncorrected C-14 yr BP. The salinity record from the first core starts at c. 3000 uncorrected C-14 yr BP and is comparable with the salinity of the second core between c. 3000 and c. 2000 uncorrected C-14 yr BP. Sudden lake water dilution in both cores at c. 1900 uncorrected C-14 yr BP is followed by brief increases in lake water salinity between c. 1900 and c. 500 uncorrected C-14 yr PB, after which gradual dilution to present occurs. This analysis of the local environmental history of this saline lake reveals a mid-late Holocene evolution of the lake basin similar to that documented from earlier marine and freshwater lacustrine sediments in the Bunger Hills. The high coherence of the independent sediment records suggests a robust general palaeosalinity reconstruction of the lake is achieved in addition to providing evidence for the fidelity of single sediment cores as useful and adequate representation of the palaeolimnological histories of Antarctic lakes.</t>
  </si>
  <si>
    <t>Univ Tasmania, Inst Antarctic &amp; So Ocean Studies, Hobart, Tas 7001, Australia; Australian Natl Univ, Res Sch Earth Sci, Canberra, ACT 0200, Australia</t>
  </si>
  <si>
    <t>University of Tasmania; Australian National University</t>
  </si>
  <si>
    <t>Roberts, D (corresponding author), Univ Tasmania, Inst Antarctic &amp; So Ocean Studies, Box 252-77, Hobart, Tas 7001, Australia.</t>
  </si>
  <si>
    <t>Roberts, Donna/0000-0001-6701-6662</t>
  </si>
  <si>
    <t>10.1017/S0954102000000225</t>
  </si>
  <si>
    <t>WOS:000087775400007</t>
  </si>
  <si>
    <t>Smith, MC; Bowman, JP; Scott, FJ; Line, MA</t>
  </si>
  <si>
    <t>Sublithic bacteria associated with Antarctic quartz stones</t>
  </si>
  <si>
    <t>Antarctica; cyanobacteria; psychrophilic bacteria; quartz; soil; sublithic</t>
  </si>
  <si>
    <t>PSYCHROPHILIC BACTERIA; DIVERSITY; ICE; MICROORGANISMS; TEMPERATURE; GROWTH</t>
  </si>
  <si>
    <t>Quartz stone sublithic cyanobacterial communities are common throughout the Vestfold Hills, Eastern Antarctica (68 degrees S 78 degrees E) contributing biomass in areas otherwise devoid of any type of vegetation. In this study, the sublithic microbial community and underlying soil was investigated using a variety of traditional and molecular methods. Although direct epifluorescent counts of the sublithic growth (average 1.1 x 10(9) cells g(-1) dry weight) and underlying soil (0.5 x 10(9) cells g(-1) dry weight) were similar, sublith viable counts (2.1 x 10(7) cfu g(-1) dry weight) were on average 3-orders of magnitude higher in the subliths. Enrichment and molecular analyses revealed the predominate cyanobacteria were non-halophilic, able to grow optimally at 15-20 degrees C, and were related to the Phormidium subgroup with several distinct morphotypes and phylotypes present. Sublithic heterotrophicbacterial populations and those of underlying soils included mostly psychrotolerant taxa typical of Antarctic soil. However, psychrophilic and halophilic bacteria; mostly members of the alpha subdivision of the Proteobacteria and the order Cytophagales, were abundant in the sublithic growth film (20-40% of the viable count and about 50% of isolated individual taxa) but absent from underlying soils. It is suggested that quartz stone subliths might constitute a refuge for psychrophilic bacteria.</t>
  </si>
  <si>
    <t>Univ Tasmania, Sch Agr Sci, Hobart, Tas 7001, Australia; Australian Antarctic Div, Kingston, Tas 7050, Australia</t>
  </si>
  <si>
    <t>10.1017/S0954102000000237</t>
  </si>
  <si>
    <t>WOS:000087775400008</t>
  </si>
  <si>
    <t>Cantrill, DJ</t>
  </si>
  <si>
    <t>A new macroflora from the South Orkney Islands, Antarctica: evidence of an Early to Middle Jurassic age for the Powell Island Conglomerate</t>
  </si>
  <si>
    <t>Antarctica; Jurassic; macroflora; South Orkney Islands</t>
  </si>
  <si>
    <t>TRINITY PENINSULA GROUP; TECTONIC EVOLUTION; JASON PENINSULA; DIPTERID FERNS; ARGENTINA; FLORAS; BASIN; COAST; LAND; ARC</t>
  </si>
  <si>
    <t>A macroflora from John Peaks, Powell Island, contains Sagenopteris nilssoniana, Cladophlebis oblonga, Brachyphyllum sp., Elatocladus confertus, and Sphenopteris sp. The macroflora is best correlated with the Botany Bay Group flora, suggesting an Early to Middle Jurassic age for the Powell Island Conglomerate. This age supports new interpretations for the geological evolution of the Antarctic Peninsula that suggest the initial phase of Gondwana break-up was manifested as small rift grabens with continental deposits.</t>
  </si>
  <si>
    <t>Cantrill, DJ (corresponding author), British Antarctic Survey, NERC, High Cross,Madingley Rd, Cambridge CB3 0ET, England.</t>
  </si>
  <si>
    <t>10.1017/S0954102000000249</t>
  </si>
  <si>
    <t>WOS:000087775400009</t>
  </si>
  <si>
    <t>Lee, DK; Jin, YK; Kim, Y; Nam, SH</t>
  </si>
  <si>
    <t>Seismicity and tectonics around the northern Antarctic Peninsula from King Sejong station data</t>
  </si>
  <si>
    <t>earthquakes; King Sejong station; northern Antarctic Peninsula; seismicity; tectonics</t>
  </si>
  <si>
    <t>WEST ANTARCTICA; EVENT DETECTION; SCOTIA SEA</t>
  </si>
  <si>
    <t>Local earthquakes recorded at the King Sejong station (62 degrees 13'31S, 58 degrees 17'07W) from 1995-96 have been analysed to study the seismicity and tectonics around the northern Antarctic Peninsula. The nature of shallow-focused normal fault earthquakes along the South Shetland Platform is still unclear. Dominant normal fault earthquakes and minor strike-slip earthquakes in the Eastern Bransfield Basin suggest 1) ongoing extension, and 2) transtensional stress transmitted from the Antarctic-Scotia transform boundaries, the South Scotia Ridge and the Shackleton Fracture Zone. A lack of seismicity in the Central Bransfield Basin supports that active seismicity in the Eastern Bransfield Basin is not a result of subduction along the South Shetland Trench. Shallow focused earthquakes have been observed along the NW-SE trending gravity low line between the Central and the Eastern Bransfield Basins that approximately coincides with the landward projection of a fracture zone in the former Phoenix Plate.</t>
  </si>
  <si>
    <t>Korea Ocean Res &amp; Dev Inst, Polar Res Ctr, Ansan 425600, South Korea</t>
  </si>
  <si>
    <t>Korea Institute of Ocean Science &amp; Technology (KIOST)</t>
  </si>
  <si>
    <t>Jin, YK (corresponding author), Korea Ocean Res &amp; Dev Inst, Polar Res Ctr, POB 29, Ansan 425600, South Korea.</t>
  </si>
  <si>
    <t>10.1017/S0954102000000250</t>
  </si>
  <si>
    <t>WOS:000087775400010</t>
  </si>
  <si>
    <t>Quilty, PG; Lirio, JM; Jillett, D</t>
  </si>
  <si>
    <t>Stratigraphy of the Pliocene Sorsdal Formation, Marine Plain, Vestfold Hills, East Antarctica</t>
  </si>
  <si>
    <t>Antarctica; diatoms; Foraminifera; molluscs; Neogene; palaeoenvironments; palaeontology</t>
  </si>
  <si>
    <t>ICE-SHEET; SIRIUS GROUP; TRANSANTARCTIC MOUNTAINS; LARSEMANN HILLS; SEDIMENTS; CLIMATE; COASTLINE; DEPOSITS; DIATOMS; HISTORY</t>
  </si>
  <si>
    <t>The Sorsdal Formation and one member, Graveyard Sandstone Member constitute a sedimentary sequence covering approximately 10 km(2) of Marine Plain, Vestfold Hills, East Antarctica. The new Formation consists dominantly of friable diatomaceous siltstone and sandstone with dark limestone lenses. It is in situ, essentially horizontal, 7.2 m thick in its type section and lies less than 25 m a.s.l. Graveyard Sandstone Member occurs near the top of the formation, is highly lithified sandy diamictite, 30-50 cm thick and widespread through the Marine Plain region. Using diatoms, the Formation is Early Pliocene in age (Fragilariopsis barronii; 4.5-4.1 Ma). The Graveyard Sandstone Member probably was deposited during the Gilbert Chron interval (lower Chron 2Ar or C3n.1r) of reversed magnetic polarity. The Sorsdal Formation contains fossil cetaceans and a diverse and well-preserved invertebrate fauna. Foraminifera are rare partly because of diagenesis, but include Ammoelphidiella antarctica. No evidence of coeval terrestrial vegetation has been recovered. The deposit accumulated in a series of small bays probably in an environment warmer than exists in the region today. There is no lithological evidence of glacial influence except in Graveyard Sandstone Member that may represent local glacial influence in a shallow marine to intertidal environment.</t>
  </si>
  <si>
    <t>Australian Antarctic Div, Kingston, Tas 7050, Australia; Inst Antartico Argentina, RA-1010 Cerrito, Capital Federal, Argentina; Shell Dev Australia Pty Ltd, Woodside Energy Ltd, Perth, WA 6000, Australia</t>
  </si>
  <si>
    <t>Australian Antarctic Division; Instituto Antartico Argentino; Woodside Petroleum Limited</t>
  </si>
  <si>
    <t>Quilty, PG (corresponding author), Univ Tasmania, Sch Earth Sci, GPO Box 252-79, Hobart, Tas 7001, Australia.</t>
  </si>
  <si>
    <t>10.1017/S0954102000000262</t>
  </si>
  <si>
    <t>WOS:000087775400011</t>
  </si>
  <si>
    <t>Shu, OY; Deng, XG; Shen, YB; Zheng, XS; Liu, XH</t>
  </si>
  <si>
    <t>Late Triassic plant microfossils from Miers Bluff Formation of Livingston Island, South Shetland Islands, Antarctica</t>
  </si>
  <si>
    <t>Livingston Island; Miers Bluff Formation; palynofloras; plant microfossils; Late Triassic</t>
  </si>
  <si>
    <t>SEDIMENTARY SEQUENCES; LITHOSTRATIGRAPHY</t>
  </si>
  <si>
    <t>A moderately diverse assemblage of plant microfossils has been recovered from the Johnsons Dock Member of the Miers Bluff Formation, Livingston Island, including spores, pollen, acritarchs, wood fragments and cuticles. Containing a total of c. 45 of miospore taxa, the palynoflora is dominated by non-striate bisaccate pollen, but spores of pteridophytes and pollen of gymnosperms are proportionate in diversity. The palynoflora is similar in composition to those indicative of subzones C+D of the Alisporites Zone of Antarctica, and the upper Craterisporites rotundus Zone and the lower Polycingulatisporites crenulatus Zone of Australia as well as the upper Polycingulatisporites crenulatus Zone and Foveosporites moretonensis Zone of New Zealand, suggesting a Late Triassic (possibly Norian-Rhaetian) age. This determination is supported by the sporadic occurrence of Aratrisporites and Classopollis in the palynoflora as well as by the absence of striate bisaccate grains.</t>
  </si>
  <si>
    <t>Chinese Acad Sci, Nanjing Inst Geol &amp; Palaeontol, Nanjing 210008, Peoples R China; Chinese Acad Sci, Beijing Inst Geol, Beijing 100029, Peoples R China</t>
  </si>
  <si>
    <t>Chinese Academy of Sciences; Chinese Academy of Sciences</t>
  </si>
  <si>
    <t>Chinese Acad Sci, Nanjing Inst Geol &amp; Palaeontol, Nanjing 210008, Peoples R China.</t>
  </si>
  <si>
    <t>Yubang, Shen/AAC-4325-2019</t>
  </si>
  <si>
    <t>10.1017/S0954102000000274</t>
  </si>
  <si>
    <t>WOS:000087775400012</t>
  </si>
  <si>
    <t>Mesoscale meteorological conditions in Dronning Maud Land, Antarctica, during summer: the momentum budget of the boundary layer</t>
  </si>
  <si>
    <t>atmospheric boundary layer; katabatic flow; meteorology</t>
  </si>
  <si>
    <t>EAST ANTARCTICA; ADELIE LAND; KATABATIC WINDS; BLUE ICE; BALANCE; FLOW</t>
  </si>
  <si>
    <t>The momentum budget of the boundary layer flow near the Swedish research station Svea in the mountainous region of western Dronning Maud Land, Antarctica, is evaluated using detailed concurrent observations of surface meteorological variables, high-resolution boundary layer profiles and upper-air profiles taken during the summer of 1997-98. Despite the fact that the irregular topographical situation prohibits easy interpretation of the data, interesting features can still be identified. All terms in the momentum budget (katabatic forcing, synoptic pressure gradient, Coriolis force and friction) can be of the same order of magnitude, which indicates that the influence of each term depends largely on the prevailing conditions. More precisely, the relative importance of the various momentum terms varies strongly with altitude, location, time of day and prevailing synoptic conditions. For example, at the undisturbed snow slopes there is a very regular daily variation of katabatically forced flow during the night and a flow dominated by the synoptic pressure gradient during the day, causing a persistent diurnal cycle in surface wind direction. The interpretation of the flow characteristics in terms of the momentum budget agrees favourably with the conclusions drawn on the basis of a general description of the prevailing meteorological conditions, and can therefore be considered consistent.</t>
  </si>
  <si>
    <t>Univ Utrecht, Inst Marine &amp; Atmospher Res, NL-3584 CC Utrecht, Netherlands</t>
  </si>
  <si>
    <t>Univ Utrecht, Inst Marine &amp; Atmospher Res, NL-3584 CC Utrecht, Netherlands.</t>
  </si>
  <si>
    <t>10.1017/S0954102000000286</t>
  </si>
  <si>
    <t>WOS:000087775400013</t>
  </si>
  <si>
    <t>Budillon, G; Fusco, G; Spezie, G</t>
  </si>
  <si>
    <t>A study of surface heat fluxes in the Ross Sea (Antarctica)</t>
  </si>
  <si>
    <t>circumpolar deep water; Ross Sea; sea ice; surface heat fluxes</t>
  </si>
  <si>
    <t>NOVA BAY POLYNYA; ENERGY FLUX; ICE; OCEAN; PARAMETERIZATIONS; GREENLAND; EXCHANGE; CLIMATE; ALBEDO; MODEL</t>
  </si>
  <si>
    <t>In the polar regions, dynamical and thermodynamical interactions between atmosphere and ocean are strongly influenced by the presence or absence of the ice cover, which forms an insulating layer over the ocean, hindering sensible heat fluxes and forming an effective barrier to evaporation and thus preventing latent heat loss. In the framework of the CLIMA (Climatic Long-term Interactions for the Mass-balance in Antarctica) project of the Italian PNRA (National Program for Antarctic Research) we focused our attention on the evaluation of the heat fluxes between the ocean and the atmosphere in the Ross Sea, where the ice covers the sea for many months of the year. Wherever the ice cover is absent all year round, such as in leads or polynyas, the air-sea fluxes can be very large, especially in winter when the air-sea temperature differences are strong. In this work heat exchanges between sea and atmosphere, whether ice cover was present or not, were calculated from climatological data obtained from the European Centre for Medium Range Weather Forecasts, while sea ice data were collected from the US National Ice Center and National Climatic Data Center. Each of the terms in the sea surface heat budget were computed for 1994 with a temporal resolution of six hours and a spatial resolution of 0.5 degrees using bulk formulae and obtaining monthly averaged horizontal distributions. The surface heat budget is dominated in November, December, January and February by shortwave radiation, while for the other months the turbulent and conductive heat fluxes dominate the heat exchange between the atmosphere and the sea surface. The annual total heat loss at the surface in 1994 has been estimated at about -90 W m(-2) with the highest heat loss occurring close to the coast; the maximum heat loss occurred in May (-217 W m(-2)) while in January the heat gain by the ocean was 196 W m(-2). In addition, weekly averaged values over the whole Ross Sea from 1994 to 1997 were calculated with the same parameterisation in order to study the temporal variability in this basin of each individual component and of the total surface heat budget. For this purpose only the data inside the continental shelf of the Ross Sea were considered in calculating the averaged fluxes. The 1994-97 total heat budget ranges from -87 to -107 W m(-2) with an average of -96 W m(-2); this amount of heat loss was supposed to be compensated for by the heat advected by the Circumpolar Deep Water and its transport was estimated at about 2.9 Sv.</t>
  </si>
  <si>
    <t>Fusco, Giannetta/J-5118-2019</t>
  </si>
  <si>
    <t>Fusco, Giannetta/0000-0003-1769-2456</t>
  </si>
  <si>
    <t>10.1017/S0954102000000298</t>
  </si>
  <si>
    <t>WOS:000087775400014</t>
  </si>
  <si>
    <t>Nichols, DS; Olley, J; Garda, H; Brenner, RR; McMeekin, TA</t>
  </si>
  <si>
    <t>Effect of temperature and salinity stress on growth and lipid composition of Shewanella gelidimarina</t>
  </si>
  <si>
    <t>ANTARCTIC SEA-ICE; MODERATELY HALOPHILIC EUBACTERIUM; FATTY-ACID BIOSYNTHESIS; BRANCHED-CHAIN; BACTERIA; MODEL; DEFICIENCY; MICROSOMES; ADAPTATION; WATER</t>
  </si>
  <si>
    <t>The maximum growth temperature, the optimal growth temperature, and the estimated normal physiological range for growth of Shewanella gelidimarina are functions of water activity (a(w)) which can be manipulated by changing the concentration of sodium chloride. The growth temperatures at the boundaries of the normal physiological range for growth were characterized by increased variability in fatty acid composition, Under hyper- and hypoosmotic stress conditions at an a(w) of 0.993 (1.0% [wt/vol] NaCl) and at an a(w) of 0.977 (4.0% [wt/vol] NaCl) the proportion of certain fatty acids (monounsaturated and branched-chain fatty acids) was highly regulated and was inversely related to the growth rate over the entire temperature range. The physical states of lipids extracted from samples grown at stressful a(w) values at the boundaries of the normal physiological range exhibited no abrupt gel-liquid phase transitions when the lipids were analyzed as liposomes, Lipid packing and adaptational fatty acid composition responses are clearly influenced by differences in the temperature-salinity regime, which are reflected in overall cell function characteristics, such as the growth rate and the normal physiological range for growth.</t>
  </si>
  <si>
    <t>Univ Tasmania, Sch Agr Sci, Hobart, Tas 7001, Australia; Univ Tasmania, Antarct CRC, Hobart, Tas 7001, Australia; UNLP, Inst Invest Bioquim Plata, CONICET, Fac Ciencias Med, La Plata, Argentina</t>
  </si>
  <si>
    <t>University of Tasmania; University of Tasmania; National University of La Plata; Consejo Nacional de Investigaciones Cientificas y Tecnicas (CONICET)</t>
  </si>
  <si>
    <t>Univ Tasmania, Sch Agr Sci, GPO Box 252-54, Hobart, Tas 7001, Australia.</t>
  </si>
  <si>
    <t>D.Nichols@utas.edu.au</t>
  </si>
  <si>
    <t>Nichols, David/0000-0002-8066-3132</t>
  </si>
  <si>
    <t>1098-5336</t>
  </si>
  <si>
    <t>10.1128/AEM.66.6.2422-2429.2000</t>
  </si>
  <si>
    <t>319TP</t>
  </si>
  <si>
    <t>WOS:000087358700021</t>
  </si>
  <si>
    <t>Sheridan, PP; Brenchley, JE</t>
  </si>
  <si>
    <t>Characterization of a salt-tolerant family 42 β-galactosidase from a psychrophilic Antarctic Planococcus isolate</t>
  </si>
  <si>
    <t>ACID-SEQUENCE SIMILARITIES; BACILLUS-CIRCULANS; ESCHERICHIA-COLI; SEA-ICE; GENE; PURIFICATION; ARTHROBACTER; HYDROLASES; MICROORGANISMS; CLASSIFICATION</t>
  </si>
  <si>
    <t>We isolated a gram-positive, halotolerant psychrophile from a hypersaline pond located on the McMurdo Ice Shelf in Antarctica. A phylogenetic analysis of the 16S rRNA gene sequence of this organism showed that it is a member of the genus Planococcus. This assignment is consistent,vith the morphology and physiological characteristics of the organism, A gene encoding a beta-galactosidase in this isolate was cloned in an Escherichia coli host. Sequence analysis of this gene placed it in glycosidase family 42 most closely related to an enzyme from Bacillus circulans. Even though an increasing number of family 42 glycosidase sequences are appearing in databases, little information about the biochemical features of these enzymes is available. Therefore, we purified and characterized this enzyme. The purified enzyme did not appear to have any metal requirement, had an optimum pH of 6.5 and an optimum temperature of activity at 42 degrees C, and was irreversibly inactivated within 10 min when it was incubated at 55 degrees C. The enzyme had an apparent K-m of 4.9 mu mol of o-nitrophenyl-beta-D-galactopyranoside and the V-max was 467 mu mol of o-nitrophenol produced/min/mg of protein at 39 degrees C. Of special interest was the finding that the enzyme remained active at high salt concentrations, which makes it a possible reporter enzyme for halotolerant and halophilic organisms.</t>
  </si>
  <si>
    <t>Brenchley, JE (corresponding author), Penn State Univ, Dept Biochem &amp; Mol Biol, University Pk, PA 16802 USA.</t>
  </si>
  <si>
    <t>10.1128/AEM.66.6.2438-2444.2000</t>
  </si>
  <si>
    <t>WOS:000087358700023</t>
  </si>
  <si>
    <t>Wendler, G; Moore, B; Dissing, D; Kelley, J</t>
  </si>
  <si>
    <t>On the radiation characteristics of Antarctic sea ice</t>
  </si>
  <si>
    <t>ATMOSPHERE-OCEAN</t>
  </si>
  <si>
    <t>SURFACE; SNOW</t>
  </si>
  <si>
    <t>Radiative measurements were carried out continuously during a cruise from Australia to Antarctica during austral slimmer 1995/96. Both shortwave and longwave radiative fluxes were measured. Some of the results are: The incoming solar radiation had a mean value of 217 W m(-2); this was a relatively weak value due to the large amount of fractional cloud cover observed. The sun was, for a large part of the trip, above the horizon for 24 hours a day. The reflectivity varied widely not only as a function of sea-ice concentration, but also as a function of ice type. Snow coveted pack ice gave the highest albedo values (approximate to 70%), while flooded sea ice and thin ice reflected much less (approximate to 30%). For each sea-ice type, short term observations showed a good relationship between albedo mid ice concentration The albedo increased with decreasing solar elevation. The net longwave radiation was negative (mean -27 W m(-2)); this small absolute value is due to a high amount of fractional cloud covet: There was a weak diurnal variation with a maximum loss (-33 W m(-2)) in the early afternoon. On the average, the net radiation was positive for 17 hours, and negative for 7 hours a day. However, the duration of a positive balance depended strongly on the surface albedo. For the observed albedo values, modelling results showed that the net radiation was always positive when averaged over a day The magnitude, however; depended strongly on the surface albedo, varying by more than the factor of three.</t>
  </si>
  <si>
    <t>Univ Alaska, Inst Geophys, Fairbanks, AK 99775 USA</t>
  </si>
  <si>
    <t>Wendler, G (corresponding author), Univ Alaska, Inst Geophys, Fairbanks, AK 99775 USA.</t>
  </si>
  <si>
    <t>CANADIAN METEOROLOGICAL OCEANOGRAPHIC SOC</t>
  </si>
  <si>
    <t>150 LOUIS PASTEUR PVT., STE 112, MCDONALD BUILDING, OTTAWA, ONTARIO K1N 6N5, CANADA</t>
  </si>
  <si>
    <t>0705-5900</t>
  </si>
  <si>
    <t>ATMOS OCEAN</t>
  </si>
  <si>
    <t>Atmos.-Ocean</t>
  </si>
  <si>
    <t>10.1080/07055900.2000.9649652</t>
  </si>
  <si>
    <t>392HX</t>
  </si>
  <si>
    <t>WOS:000166406600004</t>
  </si>
  <si>
    <t>Palinkas, LA; Gunderson, E; Holland, AW; Miller, C; Johnson, JC</t>
  </si>
  <si>
    <t>Predictors of behavior and performance in extreme environments: The Antarctic space analogue program</t>
  </si>
  <si>
    <t>Antarctica; performance; extreme environments; personality; interpersonal needs</t>
  </si>
  <si>
    <t>ASTRONAUT EFFECTIVENESS; MISSIONS; STRESS</t>
  </si>
  <si>
    <t>Background: To determine which, if any, characteristics should be incorporated into a select-in approach to screening personnel for longduration spaceflight, we examined the influence of crewmember social/demographic characteristics, personality traits, interpersonal needs, and characteristics of station physical environments on performance measures in 657 American men who spent an austral winter in Antarctica between 1963 and 1974. Methods: During screening, subjects completed a Personal History Questionnaire which obtained information on social and demographic characteristics, the Deep Freeze Opinion Survey which assessed 5 different personality traits, and the Fundamental interpersonal Relations Orientation-Behavior (FIRO-B) Scale which measured 6 dimensions of interpersonal needs. Station environment included measures of crew size and severity of physical environment. Performance was assessed on the basis of combined peer-supervisor evaluations of overall performance, peer nominations of fellow crewmembers who made ideal winter-over candidates, and self-reported depressive symptoms. Results: Social/demographic characteristics, personality traits, interpersonal needs, and characteristics of station environments collectively accounted for 9-17% of the variance in performance measures. The following characteristics were significant independent predictors of more than one performance measure: military service, low levels Of neuroticism, extraversion and conscientiousness, and a low desire for affection from others. Conclusions: These results represent an important first step in the development of select-in criteria for personnel on long-duration missions in space and other extreme environments. These criteria must take into consideration the characteristics of the environment and the limitations they place on meeting needs for interpersonal relations and task performance, as well as the characteristics of the individuals and groups who live and work in these environments.</t>
  </si>
  <si>
    <t>Univ Calif San Diego, Dept Family &amp; Prevent Med, La Jolla, CA 92093 USA; USN, Hlth Res Ctr, San Diego, CA 92152 USA; NASA, Lyndon B Johnson Space Ctr, Houston, TX 77058 USA; E Carolina Univ, Inst Coastal &amp; Marine Studies, Greenville, NC USA</t>
  </si>
  <si>
    <t>University of California System; University of California San Diego; United States Department of Defense; United States Navy; Naval Medical Research Center (NMRC); Naval Health Research Center (NHRC); National Aeronautics &amp; Space Administration (NASA); NASA Johnson Space Center; University of North Carolina; East Carolina University</t>
  </si>
  <si>
    <t>Palinkas, LA (corresponding author), Univ Calif San Diego, Dept Family &amp; Prevent Med, 9500 Gilman Dr, La Jolla, CA 92093 USA.</t>
  </si>
  <si>
    <t>Science Citation Index Expanded (SCI-EXPANDED); Social Science Citation Index (SSCI)</t>
  </si>
  <si>
    <t>321TA</t>
  </si>
  <si>
    <t>WOS:000087469700009</t>
  </si>
  <si>
    <t>Lane, AN; Hays, LM; Tsvetkova, N; Feeney, RE; Crowe, LM; Crowe, JH</t>
  </si>
  <si>
    <t>Comparison of the solution conformation and dynamics of antifreeze glycoproteins from antarctic fish</t>
  </si>
  <si>
    <t>BIOPHYSICAL JOURNAL</t>
  </si>
  <si>
    <t>PROTEIN SECONDARY STRUCTURE; ELASTIC LIGHT-SCATTERING; SPIN RELAXATION-TIMES; ICE GROWTH-INHIBITION; I INFRARED-SPECTRA; NMR-SPECTROSCOPY; ROTATIONAL DIFFUSION; BACKBONE DYNAMICS; CHEMICAL-SHIFTS; BINDING DOMAIN</t>
  </si>
  <si>
    <t>The H-1- and C-13-NMR spectra of antifreeze glycoprotein fractions 1-5 from Antarctic cod have been assigned, and the dynamics have been measured using C-13 relaxation at two temperatures. The chemical shifts and absence of non-sequential H-1-H-1 NOEs are inconsistent with a folded, compact structure. C-13 relaxation measurements show that the protein has no significant long-range order, and that the local correlation times are adequately described by a random coil model. Hydroxyl protons of the sugar residues were observed at low temperature, and the presence of exchange-mediated ROEs to the sugar indicate extensive hydration. The conformational properties of AFGP1-5 are compared with those of the previously examined 14-mer analog AFGP8, which contains proline residues in place of some alanine residues (Lane, A. N., L. M. Hays, R. E. Feeney, L. M. Crowe, and J. H. Crowe. 1998. Protein Sci. 7:1555-1563). The infrared (IR) spectra of AFGP8 and AFGP1-5 in the amide I region are quite different. The presence of a wide distribution of backbone torsion angles in AFGP1-5 leads to a rich spectrum of frequencies in the IR spectrum, as interconversion among conformational states is slow on the IR frequency time scale. However, these transitions are fast on the NMR chemical shift time scales. The restricted motions for AFGP8 may imply a narrower distribution of possible phi, psi angles, as is observed in the IR spectrum. This has significance for attempts to quantify secondary structures of proteins by IR in the presence of extensive loops.</t>
  </si>
  <si>
    <t>Natl Inst Med Res, Ridgeway, Div Mol Struct, London NW7 1AA, England; Univ Calif Davis, Sect Mol &amp; Cellular Biol, Davis, CA 95616 USA; Univ Calif Davis, Dept Food Sci &amp; Technol, Davis, CA 95616 USA</t>
  </si>
  <si>
    <t>MRC National Institute for Medical Research; University of California System; University of California Davis; University of California System; University of California Davis</t>
  </si>
  <si>
    <t>Lane, AN (corresponding author), Natl Inst Med Res, Ridgeway, Div Mol Struct, Mill Hill, London NW7 1AA, England.</t>
  </si>
  <si>
    <t>NHLBI NIH HHS [R01HL57810-01] Funding Source: Medline</t>
  </si>
  <si>
    <t>NHLBI NIH HHS(United States Department of Health &amp; Human ServicesNational Institutes of Health (NIH) - USANIH National Heart Lung &amp; Blood Institute (NHLBI))</t>
  </si>
  <si>
    <t>BIOPHYSICAL SOCIETY</t>
  </si>
  <si>
    <t>9650 ROCKVILLE PIKE, BETHESDA, MD 20814-3998 USA</t>
  </si>
  <si>
    <t>0006-3495</t>
  </si>
  <si>
    <t>BIOPHYS J</t>
  </si>
  <si>
    <t>Biophys. J.</t>
  </si>
  <si>
    <t>10.1016/S0006-3495(00)76856-1</t>
  </si>
  <si>
    <t>323TE</t>
  </si>
  <si>
    <t>WOS:000087580400039</t>
  </si>
  <si>
    <t>Justiniano, MJ; Fredericksen, TS</t>
  </si>
  <si>
    <t>Phenology of tree species in Bolivian dry forests</t>
  </si>
  <si>
    <t>BIOTROPICA</t>
  </si>
  <si>
    <t>Bolivia; flowering; fruit production; leaf fall; phenology; tropical dry forest</t>
  </si>
  <si>
    <t>COSTA-RICA; TROPICAL TREES; RAIN-FOREST; LOWLANDS; WET</t>
  </si>
  <si>
    <t>Phenological characteristics of 453 individuals representing 39 tree species were investigated in two dry forests of the Lomerio region, Department of Santa Cruz, Bolivia. The leaf, Bower, and fruit production of canopy and sub-canopy forest tree species were recorded monthly over a two-year period. Most canopy species lost their leaves during the dry season, whereas nearly all sub-canopy species retained their leaves. Peak leaf fall for canopy trees coincided with the peak of the dry season in July and August. Flushing of new leaves was complete by November in the Early rainy season. Flowering and fruiting were bimodal, with a major peak occurring at the end of the dry season (August-October) and a minor peak during the rainy season (January). Fruit development was sufficiently long in this forest chat fruiting peaks actually tended to precede flowering peaks by one month. A scarcity of fruit was observed in May, corresponding to the end of the rainy season. With the exception of figs (Ficus), most species had fairly synchronous fruit production. Most canopy trees had small, wind dispersed seeds or fruits that matured during the latter parr of the dry season, whereas many sub-canopy tree species produced larger animal- or gravity-dispersed fruits that matured during the peak of the rainy season. Most species produced fruit annually. Lomerio received less rainfall than other tropical dry forests in which phenological studies have been conducted, bur rainfall can be plentiful during the dry season in association with the passage of Antarctic cold fronts. Still, phenological patterns in Bolivian dry forests appear to be similar to those of other Neotropical dry forests.</t>
  </si>
  <si>
    <t>Proyecto BOLFOR, Santa Cruz, Bolivia</t>
  </si>
  <si>
    <t>Proyecto BOLFOR, Santa Cruz, Bolivia.</t>
  </si>
  <si>
    <t>nelltodd@bibosi.scz.entelnet.bo</t>
  </si>
  <si>
    <t>0006-3606</t>
  </si>
  <si>
    <t>1744-7429</t>
  </si>
  <si>
    <t>Biotropica</t>
  </si>
  <si>
    <t>10.1111/j.1744-7429.2000.tb00470.x</t>
  </si>
  <si>
    <t>327UR</t>
  </si>
  <si>
    <t>WOS:000087812600009</t>
  </si>
  <si>
    <t>Dredge, LA</t>
  </si>
  <si>
    <t>Carbonate dispersal trains, secondary till plumes, and ice streams in the west Foxe Sector, Laurentide Ice Sheet</t>
  </si>
  <si>
    <t>BOREAS</t>
  </si>
  <si>
    <t>CANADIAN SHIELD; ANTARCTICA; BENEATH; DEFORMATION; CONTINUITY; BEHAVIOR; SEDIMENT; DYNAMICS; EROSION; GEOLOGY</t>
  </si>
  <si>
    <t>Regional carbonate dispersal trains cross Melville Peninsula in the northeastern Canadian Arctic. These trains are 50-125 km across and 100-300 km long. The northern dispersal train crosses upland and lowland areas, while the Rae Isthmus train follows the lowlands. The distribution of carbonate in boulder, pebble and matrix till fractions indicates long-distance glacial transport of limestone, a low rate of dilution, and comminution from pebble to silt sizes. Dispersal patterns and geotechnical properties of the till suggest deforming bed and basal gliding mechanisms of ice flow associated with ice-streaming. Regional ice streams may have been 'normative' in carbonate terrain during the main Fore (Wisconsin) Glaciation. Till plumes within regional dispersal trains, showing little dilution of carbonate down-ice from bedrock sources, are oriented towards lowlands. These features, sharp-edged and 300 mwide, mark zones of augmented flew. They are late-glacial features that formed after calving bays developed in Committee Bay, The dimensions of the dispersal trains, and ice-Bow styles and mechanisms, are similar to those of modern Antarctic ice streams. The sharp edges of till plumes may delineate flow boundaries marked by lateral crevasse zones in the late-glacial ice sheet. Secondary streams-within-ice streams have not been reported previously in the literature.</t>
  </si>
  <si>
    <t>Geol Survey Canada, Ottawa, ON K1A 0E8, Canada</t>
  </si>
  <si>
    <t>Natural Resources Canada; Lands &amp; Minerals Sector - Natural Resources Canada; Geological Survey of Canada</t>
  </si>
  <si>
    <t>Dredge, LA (corresponding author), Geol Survey Canada, 601 Booth St, Ottawa, ON K1A 0E8, Canada.</t>
  </si>
  <si>
    <t>TAYLOR &amp; FRANCIS AS</t>
  </si>
  <si>
    <t>OSLO</t>
  </si>
  <si>
    <t>CORT ADELERSGT 17, PO BOX 2562, SOLLI, 0202 OSLO, NORWAY</t>
  </si>
  <si>
    <t>0300-9483</t>
  </si>
  <si>
    <t>Boreas</t>
  </si>
  <si>
    <t>10.1080/030094800750044321</t>
  </si>
  <si>
    <t>330FF</t>
  </si>
  <si>
    <t>WOS:000087951600005</t>
  </si>
  <si>
    <t>Bell, GD; Halpert, MS; Schnell, RC; Higgins, RW; Lawrimore, J; Kousky, VE; Tinker, R; Thiaw, W; Chelliah, M; Artusa, A</t>
  </si>
  <si>
    <t>Climate assessment for 1999</t>
  </si>
  <si>
    <t>BULLETIN OF THE AMERICAN METEOROLOGICAL SOCIETY</t>
  </si>
  <si>
    <t>SOUTHERN OSCILLATION; NORTHERN-HEMISPHERE; CYCLONE FORMATION; CARBON-MONOXIDE; PATTERNS; MONSOON; TRENDS; OZONE; HALOCARBONS; VARIABILITY</t>
  </si>
  <si>
    <t>The global climate during 1999 was impacted by Pacific cold episode (La Nina) conditions throughout the year, which resulted in regional precipitation and atmospheric circulation patterns across the Pacific Ocean and the Americas that are generally consistent with those observed during past cold episodes. The primary La Nina-related precipitation anomalies included 1) increased rainfall across Indonesia, and a nearly complete disappearance of rainfall across the east-central and eastern equatorial Pacific; 2) above-normal rains across northwestern and northern Australia; 3) increased monsoon rains across the Sahel region of western Africa; 4) above-average rains over southeastern Africa, 5) above-average rains over the Caribbean Sea and portions of Central America, and 6) below-average rains in southeastern South America. The La Nina also contributed to persistent cyclonic circulation anomalies in the subtropics of both hemispheres, which Banked the area of suppressed convective activity over the eastern half of the equatorial Pacific. In the Northern Hemisphere this anomaly feature contributed to a pronounced westward retraction of the wintertime East Asian jet stream, which subsequently impacted precipitation and storm patterns across the eastern North Pacific and western North America. The La Nina-related pattern of tropical rainfall also contributed to a very persistent pattern of anticyclonic circulation anomalies in the middle latitude of both hemispheres, extending from the eastern Pacific across the Atlantic and Africa eastward to Australasia. This anomaly pattern was associated with an active Atlantic hurricane season, an inactive eastern North Pacific hurricane season, above-average rains in the African Sahel, and an overall amplification of the entire southeast Asian summer monsoon complex. The active 1999 North Atlantic hurricane season featured 12 named storms, 8 of which became hurricanes, and 5 of which became intense hurricanes. The peak of activity during mid-August-October was accompanied by low vertical wind shear across the central and western Atlantic, along with both a favorable structure and location of the African easterly jet. In contrast, only 9 tropical storms formed over the eastern North Pacific during the year, making it one of the most inactive years for that region in the historical record. This relative inactivity was linked to a persistent pattern of high vertical wind shear that covered much of the main development region of the eastern North Pacific. Other regional aspects of the short-term climate included: 1) above-average wintertime precipitation and increased storminess in the Pacific Northwest, United States; 2) above-average monsoonal rainfall across the southwestern United States; 3) drought over the northeastern quadrant of the United States during April-mid-August; 4) hurricane-related flooding in the Carolinas during September; 5) drought over the south-central United States during July-November; 6) below-average rainfall in the Hawaiian Islands throughout the year, with long-term dryness affecting some parts of the islands since October 1997; 7) a continuation of long-term drought conditions in southeastern Australia, with most of Victoria experiencing below-average rainfall since late 1996; and 8) above-average rainfall in central China during April-August. Global annual mean surface temperatures during 1999 for land and marine areas were 0.41 degrees C above the 1880-1998 long-term mean, making it the fifth warmest year in the record. However, significant cooling was evident in the Tropics during 1999 in association with a continuation of La Nina conditions. In contrast, temperatures in both the Northern Hemisphere and Southern Hemisphere extratropics were the second wannest in the historical record during 1999, and only slightly below the record 1998 anomalies. The areal extent of the Antarctic ozone hole remained near record levels during 1999. The ozone hole also lasted longer than has been observed in past years.</t>
  </si>
  <si>
    <t>NOAA, Natl Weather Serv, NCEP, Climate Predict Ctr, Washington, DC 20233 USA; NOAA, Climate Monitoring &amp; Diagnost Lab, Boulder, CO 80303 USA; NOAA, Natl Climate Data Ctr, Asheville, NC USA</t>
  </si>
  <si>
    <t>National Oceanic Atmospheric Admin (NOAA) - USA; National Oceanic Atmospheric Admin (NOAA) - USA; National Oceanic Atmospheric Admin (NOAA) - USA</t>
  </si>
  <si>
    <t>Halpert, MS (corresponding author), NOAA, NCEP, Climate Predict Ctr, W-NP52,NSC Rm 605,5200 Auth Rd, Camp Springs, MD 20746 USA.</t>
  </si>
  <si>
    <t>Schnell, Russell/N-6100-2014</t>
  </si>
  <si>
    <t>Schnell, Russell/0000-0002-5792-6205</t>
  </si>
  <si>
    <t>0003-0007</t>
  </si>
  <si>
    <t>B AM METEOROL SOC</t>
  </si>
  <si>
    <t>Bull. Amer. Meteorol. Soc.</t>
  </si>
  <si>
    <t>S1</t>
  </si>
  <si>
    <t>S50</t>
  </si>
  <si>
    <t>10.1175/1520-0477(2000)81[s1:CAF]2.0.CO;2</t>
  </si>
  <si>
    <t>319FF</t>
  </si>
  <si>
    <t>WOS:000087330300021</t>
  </si>
  <si>
    <t>Castellini, M</t>
  </si>
  <si>
    <t>History of polar whaling: insights into the physiology of the great whales</t>
  </si>
  <si>
    <t>COMPARATIVE BIOCHEMISTRY AND PHYSIOLOGY A-MOLECULAR AND INTEGRATIVE PHYSIOLOGY</t>
  </si>
  <si>
    <t>Symposium on Experimental Physiology in the Polar Regions: The Historial Development, Experimental Biology</t>
  </si>
  <si>
    <t>APR 17, 1999</t>
  </si>
  <si>
    <t>WASHINGTON, D.C.</t>
  </si>
  <si>
    <t>cetaceans; diving physiology; marine mammals; polar; Arctic; Antarctic; anatomy</t>
  </si>
  <si>
    <t>METABOLISM; MOVEMENTS; BLUBBER; GROWTH; SEALS</t>
  </si>
  <si>
    <t>The sheer size and pelagic nature of the great whales has effectively precluded detailed studies of most of their physiological processes. The vast majority of all data for these species have come from anatomical studies conducted on specimens that were caught in commercial and native whaling operations. In both the polar regions, an incredible number of whales were hunted, but anatomical studies were not usually conducted until relatively recent times. However, the anatomical data that do exist provide a valuable insight into some of the physiological demands placed on the animals by their marine habitat. These include information on blubber and nutrition; baleen and feeding ecology; contaminant chemistry and tissue samples; diving chemistry and acoustics. Taken together, these anatomical data provide the only substantial information on how these animals dive and hunt. Recent breakthroughs in chemical techniques however, are providing even greater details on function (for example, fatty acid signature methods). Coupled with advanced methods for tracking these whales at sea (acoustic and satellite), future studies should provide significant new information on the general physiology of these difficult to study species. (C) 2000 Elsevier Science Inc. All rights reserved.</t>
  </si>
  <si>
    <t>Univ Alaska, Inst Marine Sci, Fairbanks, AK 99775 USA</t>
  </si>
  <si>
    <t>Castellini, M (corresponding author), Univ Alaska, Inst Marine Sci, Fairbanks, AK 99775 USA.</t>
  </si>
  <si>
    <t>Castellini, Michael/0000-0003-0396-1045</t>
  </si>
  <si>
    <t>1095-6433</t>
  </si>
  <si>
    <t>COMP BIOCHEM PHYS A</t>
  </si>
  <si>
    <t>Comp. Biochem. Physiol. A-Mol. Integr. Physiol.</t>
  </si>
  <si>
    <t>10.1016/S1095-6433(00)00209-9</t>
  </si>
  <si>
    <t>Biochemistry &amp; Molecular Biology; Physiology; Zoology</t>
  </si>
  <si>
    <t>337JL</t>
  </si>
  <si>
    <t>WOS:000088353900004</t>
  </si>
  <si>
    <t>Brandini, FP; Boltovskoy, D; Piola, A; Kocmur, S; Röttgers, R; Abreu, PC; Lopes, RM</t>
  </si>
  <si>
    <t>Multiannual trends in fronts and distribution of nutrients and chlorophyll in the southwestern Atlantic (30-62°S)</t>
  </si>
  <si>
    <t>thermal fronts; nutrients; chlorophyll; Brazil-Malvinas Confluence Zone; Polar front; southwestern Atlantic</t>
  </si>
  <si>
    <t>BRAZIL MALVINAS CONFLUENCE; SOUTHERN-OCEAN; PHYTOPLANKTON; CIRCULATION; AFRICA</t>
  </si>
  <si>
    <t>This paper presents the first data on the vertical distribution of chlorophyll and nutrients in the upper layers of the southern southwestern Atlantic and interprets it in relation to frontal systems and the general hydrographic features. The survey covered quasi-synoptically the area between 30 and 62 degrees S, at the beginning of the austral summers of three consecutive years (1993 through 1995). Our results show a rather consistent oceanographic structure, with similar patterns of chlorophyll and nutrient distributions with latitude. Outstanding features present throughout the three seasons are two zones of high phytoplankton production, where chlorophyll concentrations of &gt; 1 mu g/l seem to occur frequently. The first is the upper euphotic zone of the Brazil-Malvinas Confluence Zone between approximately 36 and 50 degrees S. The second is centered on subsurface layers of the Antarctic Surface Water south of the Polar Front as far as 62 degrees S. The rest of the area covered shows low chlorophyll concentrations ( &lt; 0.4 mu g/l), due either to nutrient limitation in the oligotrophic subtropical waters of the Brazil Current or to excessive turbulence and upper-layer instability in the energetic Malvinas Current. The occurrence of a permanent meander around 38 degrees S coincided with the cyclonic retroflexion of the Malvinas Current, causing upwelling of deep water. The ecological implications of this eddy-induced upwelling are discussed. (C) 2000 Elsevier Science Ltd. All rights reserved.</t>
  </si>
  <si>
    <t>Univ Fed Parana, Ctr Estudos Mar, BR-83255000 Pontal, Parana, Brazil; Univ Buenos Aires, Fac Ciencias Exactas &amp; Nat, RA-1428 Buenos Aires, DF, Argentina; Consejo Nacl Invest Cient &amp; Tecn, Buenos Aires, DF, Argentina; Dept Oceanog, Serv Hidrog Naval, RA-1271 Buenos Aires, DF, Argentina; Univ Buenos Aires, Fac Ciencias Exactas &amp; Nat, Dept Ciencias Atmosfera, RA-1428 Buenos Aires, DF, Argentina; Alfred Wegener Inst Polar &amp; Marine Res, D-2850 Bremerhaven, Germany; Fundacao Univ Rio Grande, Dept Oceanog, BR-96201900 Rio Grande, RS, Brazil</t>
  </si>
  <si>
    <t>Universidade Federal do Parana; University of Buenos Aires; Consejo Nacional de Investigaciones Cientificas y Tecnicas (CONICET); Servicio de Hidrografia Naval; University of Buenos Aires; Helmholtz Association; Alfred Wegener Institute, Helmholtz Centre for Polar &amp; Marine Research; Universidade Federal do Rio Grande</t>
  </si>
  <si>
    <t>Brandini, FP (corresponding author), Univ Fed Parana, Ctr Estudos Mar, Av Beira Mar S-N,Pontal Sul, BR-83255000 Pontal, Parana, Brazil.</t>
  </si>
  <si>
    <t>Boltovskoy, Demetrio/ITA-5729-2023; Abreu, Paulo Cesar/A-5145-2013; Brandini, Frederico/C-9402-2012; Piola, Alberto/HZI-5475-2023; Piola, Alberto/O-2280-2013; Lopes, Rubens/C-6335-2012</t>
  </si>
  <si>
    <t>Abreu, Paulo Cesar/0000-0002-7657-1112; Brandini, Frederico/0000-0002-3177-4274; Boltovskoy, Demetrio/0000-0003-3484-2954; Piola, Alberto/0000-0002-5003-8926; Lopes, Rubens/0000-0002-9709-073X</t>
  </si>
  <si>
    <t>10.1016/S0967-0637(99)00075-8</t>
  </si>
  <si>
    <t>297LQ</t>
  </si>
  <si>
    <t>Green Published, Green Submitted</t>
  </si>
  <si>
    <t>WOS:000086084700003</t>
  </si>
  <si>
    <t>Yocis, BH; Kieber, DJ; Mopper, K</t>
  </si>
  <si>
    <t>Photochemical production of hydrogen peroxide in Antarctic Waters</t>
  </si>
  <si>
    <t>hydrogen peroxide; ozone hole; quantum yield; action spectra; Antarctica; Weddell Sea; Scotia Sea</t>
  </si>
  <si>
    <t>ULTRAVIOLET-RADIATION; ORGANIC-MATTER; NATURAL-WATERS; ORINOCO RIVER; OPTICAL-ABSORPTION; OZONE DEPLETION; SURFACE WATERS; LAKE WATERS; SEAWATER; PHOTOSYNTHESIS</t>
  </si>
  <si>
    <t>Photochemical production rates of hydrogen peroxide (H2O2) were determined in Antarctic waters during two research cruises. The first cruise was from mid-October to mid-November, 1993, in the confluence of the Weddell and Scotia Seas, and the second cruise was in December, 1994, along the coast of the Antarctic Peninsula. During these cruises, midday sea-surface production rates ranged from 2.1 to 9.6 nM h(-1), with an average rate of 4.5 nM h(-1). Production rates were consistently smaller than rates determined at lower latitudes (&gt; 9 nM h(-1)), primarily due to the colder temperatures and lower ultraviolet irradiances in polar waters. In situ production rates were determined with a free-floating drifter that was deployed for 12-14 h. Production rates, averaged over the deployment time, were highest at or near the surface (ca. 2.4-3.5 nM h(-1)) and decreased rapidly with depth to 0.1-0.7 nM h(-1) at 10-20 m. The decrease in production rates with depth generally paralleled the decrease in ultraviolet irradiance in the water column. Production rates of hydrogen peroxide in Antarctic seawater were largely controlled by the ultraviolet irradiance in the water column, although there was some evidence for production in the blue region of the solar spectrum. A laboratory study was conducted to determine the wavelength dependence of the apparent quantum yield for the photochemical formation of hydrogen peroxide in Antarctic waters. Apparent quantum yields determined at 0 degrees C decreased from 0.74 x 10(-3) mol einstein(-1) at 290 nm to 1.0 x 10(-5) mol einstein(-1) 410 nm. At 20 degrees C, apparent quantum yields for the photochemical production of hydrogen peroxide were within a factor of two of apparent quantum yields determined in temperate waters at 20-25 degrees C. Sunlight-normalized H2O2 production rates were determined as a function of wavelength using noontime irradiance data from Palmer Station, Antarctica. A decrease in stratospheric ozone from 336 to 151 Dobson units resulted in a predicted 19-42% increase in the photoproduction of H2O2 at the sea surface in Antarctic waters. The magnitude of this increase depends on the concentration and absorbance characteristics of dissolved organic matter in the photic zone, as well as on other factors such as cloudiness and decreasing solar zenith angle that tend to lower photochemical rates offsetting increases due to stratospheric ozone depletion. (C) 2000 Elsevier Science Ltd. All rights reserved.</t>
  </si>
  <si>
    <t>SUNY Coll Environm Sci &amp; Forestry, Dept Chem, Syracuse, NY 13210 USA; Washington State Univ, Dept Chem, Pullman, WA 99164 USA</t>
  </si>
  <si>
    <t>State University of New York (SUNY) System; State University of New York (SUNY) College of Environmental Science &amp; Forestry; Washington State University</t>
  </si>
  <si>
    <t>Kieber, DJ (corresponding author), SUNY Coll Environm Sci &amp; Forestry, Dept Chem, Syracuse, NY 13210 USA.</t>
  </si>
  <si>
    <t>Mopper, Kenneth/J-1761-2012</t>
  </si>
  <si>
    <t>10.1016/S0967-0637(99)00095-3</t>
  </si>
  <si>
    <t>WOS:000086084700006</t>
  </si>
  <si>
    <t>Bogorodskii, PV; Nagurnyi, AP</t>
  </si>
  <si>
    <t>Under-ice meltwater puddles: A factor of fast sea ice melting in the Arctic</t>
  </si>
  <si>
    <t>Bogorodskii, PV (corresponding author), Arctic &amp; Antarctic Res Inst, Ul Beringa 38, St Petersburg 199226, Russia.</t>
  </si>
  <si>
    <t>Bogorodskii, Petr/J-4213-2014</t>
  </si>
  <si>
    <t>JUN-JUL</t>
  </si>
  <si>
    <t>357VM</t>
  </si>
  <si>
    <t>WOS:000089521500029</t>
  </si>
  <si>
    <t>Chepurina, MA</t>
  </si>
  <si>
    <t>External impacts of solar activity on seasonal variations in the global climate and ice edge position in the Southern Ocean</t>
  </si>
  <si>
    <t>Chepurina, MA (corresponding author), Arctic &amp; Antarctic Res Inst, Ul Beringa 38, St Petersburg 199226, Russia.</t>
  </si>
  <si>
    <t>WOS:000089521500032</t>
  </si>
  <si>
    <t>McGowan, HA; McTainsh, GH; Zawar-Reza, P; Sturman, AP</t>
  </si>
  <si>
    <t>Identifying regional dust transport pathways: Application of kinematic trajectory modelling to a trans-Tasman case</t>
  </si>
  <si>
    <t>EARTH SURFACE PROCESSES AND LANDFORMS</t>
  </si>
  <si>
    <t>Australia; New Zealand; Tasman Sea; dust transport; trajectory modelling; deposition; dust storm</t>
  </si>
  <si>
    <t>SOUTHERN AFRICA; SAHARAN DUST; NEW-ZEALAND; AUSTRALIA; AIR; SEDIMENTS; AEROSOL; DEPOSITION; ATLANTIC; ARIDITY</t>
  </si>
  <si>
    <t>PI kinematic trajectory model is used to investigate potential pathways of dust transport from Australia to New Zealand. Historically, these have been assumed to follow rather direct west-east trajectories spanning 2 to 3 days, often resulting in red snow events in the Southern Alps of New Zealand. However, results from the present study which examined the route taken by air parcels originating in southern Australia during dust storms on 24 and 25 May 1994, indicate that trans-Tasman dust transport trajectories are more diverse than previously thought, and display considerable variation during single events. These mon divergent pathways tie in more closely with aeolian dust sedimentation patterns identified by ocean coring in the Tasman Sea, and may account for the deposition of Australian dust on sub-Antarctic islands located well south of the Australian continent. Copyright 2000 John Wiley Sons, Ltd.</t>
  </si>
  <si>
    <t>Victoria Univ Wellington, Sch Earth Sci, Wellington, New Zealand; Griffith Univ, Fac Environm Sci, Brisbane, Qld 4111, Australia; Univ Canterbury, Dept Geog, Christchurch 1, New Zealand</t>
  </si>
  <si>
    <t>Victoria University Wellington; Griffith University; University of Canterbury</t>
  </si>
  <si>
    <t>McGowan, HA (corresponding author), Victoria Univ Wellington, Sch Earth Sci, POB 600, Wellington, New Zealand.</t>
  </si>
  <si>
    <t>McGowan, Hamish/AAD-9607-2021</t>
  </si>
  <si>
    <t>Sturman, Andrew/0000-0002-2103-3616</t>
  </si>
  <si>
    <t>0197-9337</t>
  </si>
  <si>
    <t>EARTH SURF PROC LAND</t>
  </si>
  <si>
    <t>Earth Surf. Process. Landf.</t>
  </si>
  <si>
    <t>10.1002/1096-9837(200006)25:6&lt;633::AID-ESP102&gt;3.0.CO;2-J</t>
  </si>
  <si>
    <t>329EJ</t>
  </si>
  <si>
    <t>WOS:000087893500005</t>
  </si>
  <si>
    <t>Ayala, AR; Danese, MD; Ladenson, PW</t>
  </si>
  <si>
    <t>When to treat mild hypothyroidism</t>
  </si>
  <si>
    <t>ENDOCRINOLOGY AND METABOLISM CLINICS OF NORTH AMERICA</t>
  </si>
  <si>
    <t>L-THYROXINE THERAPY; INDUCED SUBCLINICAL HYPOTHYROIDISM; REVERSIBLE THYROID-DYSFUNCTION; PROLONGED ANTARCTIC RESIDENCE; SUB-CLINICAL HYPOTHYROIDISM; SERUM THYROTROPIN; CHRONIC URTICARIA; HASHIMOTOS-THYROIDITIS; FOLLOW-UP; SUSPECTED HYPOTHYROIDISM</t>
  </si>
  <si>
    <t>Mild thyroid hormone deficiency, defined by elevation of serum thyroid-stimulating hormone concentration despite a normal free thyroxine level, can be distinguished by clinical and circumstantial observations from other conditions that cause this constellation of laboratory findings. In most but not all clinical trials, thyroxine treatments of patients with mild hypothyroidism have been shown to lower atherogenic lipid levels and relieve certain somatic and neuropsychiatric symptoms. Treatment also prevents progression to overt hypothyroidism, which is likely to occur in patients who are older, have circulating thyroid autoantibodies, or have a serum TSH level greater than 10 mU/L. The prevalence of mild hypothyroidism, particularly in older women, and its subtle clinical presentation have led some investigators to recommend a low threshold for case-finding or routine population screening for the disorder.</t>
  </si>
  <si>
    <t>Johns Hopkins Univ, Sch Med, Div Endocrinol &amp; Metab, Baltimore, MD 21287 USA</t>
  </si>
  <si>
    <t>Johns Hopkins University</t>
  </si>
  <si>
    <t>Johns Hopkins Univ, Sch Med, Div Endocrinol &amp; Metab, 1830 E Monument St,Suite 333, Baltimore, MD 21287 USA.</t>
  </si>
  <si>
    <t>ladenson@jhu.edu</t>
  </si>
  <si>
    <t>Danese, Mark/0000-0002-7068-9603</t>
  </si>
  <si>
    <t>W B SAUNDERS CO-ELSEVIER INC</t>
  </si>
  <si>
    <t>1600 JOHN F KENNEDY BOULEVARD, STE 1800, PHILADELPHIA, PA 19103-2899 USA</t>
  </si>
  <si>
    <t>0889-8529</t>
  </si>
  <si>
    <t>1558-4410</t>
  </si>
  <si>
    <t>ENDOCRIN METAB CLIN</t>
  </si>
  <si>
    <t>Endocrinol. Metabol. Clin. North Amer.</t>
  </si>
  <si>
    <t>10.1016/S0889-8529(05)70139-0</t>
  </si>
  <si>
    <t>322XP</t>
  </si>
  <si>
    <t>WOS:000087534800012</t>
  </si>
  <si>
    <t>Georlette, D; Jónsson, ZO; Van Petegem, F; Chessa, JP; Van Beeumen, J; Hüscher, U; Gerday, C</t>
  </si>
  <si>
    <t>A DNA ligase from the psychrophile Pseudoalteromonas haloplanktis gives insights into the adaptation of proteins to low temperatures</t>
  </si>
  <si>
    <t>NAD(+)-dependent DNA ligase; psychrophile; thermophile; structural comparison; overexpression</t>
  </si>
  <si>
    <t>MULTIPLE SEQUENCE ALIGNMENT; BLUNT-END LIGATION; NUCLEOTIDE-SEQUENCE; ESCHERICHIA-COLI; PROLINE RESIDUES; ALPHA-AMYLASE; ENCODING GENE; THERMOSTABLE OLIGO-1,6-GLUCOSIDASE; ALTEROMONAS-HALOPLANCTIS; ANTARCTIC BACTERIUM</t>
  </si>
  <si>
    <t>The cloning, overexpression and characterization of a cold-adapted DNA ligase from the Antarctic sea water bacterium Pseudoalteromonas haloplanktis are described. Protein sequence analysis revealed that the cold-adapted Ph DNA ligase shows a significant level of sequence similarity to other NAD(+)-dependent DNA ligases and contains several previously described sequence motifs. Also, a decreased level of arginine and proline residues in Ph DNA ligase could be involved in the cold-adaptation strategy. Moreover, 3D modelling of the N-terminal domain of Ph DNA ligase clearly indicates that this domain is destabilized compared with its thermophilic homologue. The recombinant Ph DNA ligase was overexpressed in Escherichia coli and purified to homogeneity. Mass spectroscopy experiments indicated that the purified enzyme is mainly in an adenylated form with a molecular mass of 74 593 Da. Ph DNA ligase shows similar overall catalytic properties to other NAD(+)-dependent DNA ligases but is a cold-adapted enzyme as its catalytic efficiency (k(cat)/K-m) at low and moderate temperatures is higher than that of its mesophilic counterpart E. coli DNA ligase. A kinetic comparison of three enzymes adapted to different temperatures (P. haloplanktis, E. coli and Thermus scotoductus DNA ligases) indicated that an increased k(cat) is the most important adaptive parameter for enzymatic activity at low temperatures, whereas a decreased K-m for the nicked DNA substrate seems to allow T. scotoductus DNA ligase to work efficiently at high temperatures. Besides being useful for investigation of the adaptation of enzymes to extreme temperatures, P. haloplanktis DNA ligase, which is very efficient at low temperatures, offers a novel tool for biotechnology.</t>
  </si>
  <si>
    <t>B6A Univ Liege, Inst Chem, Biochem Lab, B-4000 Sart Tilman Par Liege, Belgium; Univ Zurich Irchel, Inst Vet Biochem, CH-8057 Zurich, Switzerland; Brigham &amp; Womens Hosp, Dept Pathol, Boston, MA 02115 USA; Dept Biochem Physiol &amp; Microbiol, Lab Prot Biochem &amp; Prot Engn, Ghent, Belgium</t>
  </si>
  <si>
    <t>University of Zurich; Harvard University; Brigham &amp; Women's Hospital</t>
  </si>
  <si>
    <t>B6A Univ Liege, Inst Chem, Biochem Lab, B-4000 Sart Tilman Par Liege, Belgium.</t>
  </si>
  <si>
    <t>Jónsson, Zophonías Oddur/AAO-1354-2020; Jónsson, Zophonías/E-1960-2015; Van petegem, Filip/M-6061-2016</t>
  </si>
  <si>
    <t>Jónsson, Zophonías Oddur/0000-0001-5798-9647; Van petegem, Filip/0000-0003-2728-8537</t>
  </si>
  <si>
    <t>10.1046/j.1432-1327.2000.01377.x</t>
  </si>
  <si>
    <t>324MC</t>
  </si>
  <si>
    <t>Green Accepted, Bronze, Green Published</t>
  </si>
  <si>
    <t>WOS:000087624600013</t>
  </si>
  <si>
    <t>Petrescu, I; Lamotte-Brasseur, J; Chessa, JP; Ntarima, P; Claeyssens, M; Devreese, B; Marino, G; Gerday, C</t>
  </si>
  <si>
    <t>Xylanase from the psychrophilic yeast Cryptococcus adeliae</t>
  </si>
  <si>
    <t>xylanases; psychrophile; yeast; molecular adaptation; molecular modeling</t>
  </si>
  <si>
    <t>ALTEROMONAS-HALOPLANCTIS; ALPHA-AMYLASE; CRYSTAL-STRUCTURE; THERMODYNAMIC STABILITY; ANTARCTIC BACTERIUM; NEUTRAL PROTEASE; COLD ADAPTATION; HYDROGEN-BONDS; PROTEINS; SITE</t>
  </si>
  <si>
    <t>A xylanase belonging to family 10 is produced by Cryptococcus adeliae, an Antarctic yeast that exhibits optimal growth at low temperature, The mature glycosylated xylanase secreted by C. adeliae is composed of 338 amino acid residues and 26 +/- 3 osidic residues, and shares 84% identity with its mesophilic counterpart from C. albidus. The xylanase from C. adeliae is less thermostable than its mesophilic homologue when the residual activities are compared, and this difference was confirmed by differential scanning calorimetry experiments. In the range 0 degrees-20 degrees C, the cold-adapted xylanase displays a lower activation energy and a higher catalytic efficiency. All these observations suggest a less compact, more flexible molecular structure. Analysis of computerized molecular models built up for both psychrophilic and mesophilic xylanases indicates that the adaptation to cold consists of discrete changes in the tridimensional structure: of 53 substitutions, 22 are presumably involved in the adaptation process. These changes lead mainly to a less compact hydrophobic packing, to the loss of one salt bridge, and to a destabilization of the macrodipoles of the helices.</t>
  </si>
  <si>
    <t>Univ Liege, Biochim Lab, Inst Chim B6, Liege, Belgium; Eurogentec SA, Seraing, Belgium; Univ Liege, Ctr Ingn Prot, Inst Chim B6, Liege, Belgium; State Univ Ghent, Biochem Lab, B-9000 Ghent, Belgium; Univ Naples Federico II, Dept Organ &amp; Biol Chem, Naples, Italy</t>
  </si>
  <si>
    <t>University of Liege; University of Liege; Ghent University; University of Naples Federico II</t>
  </si>
  <si>
    <t>Gerday, C (corresponding author), Univ Liege, Biochim Lab, Inst Chim B6, Liege, Belgium.</t>
  </si>
  <si>
    <t>Devreese, Bart/B-2011-2009; Devreese, Bart/K-2841-2019</t>
  </si>
  <si>
    <t>Devreese, Bart/0000-0002-9764-2581; Devreese, Bart/0000-0002-9764-2581</t>
  </si>
  <si>
    <t>10.1007/s007920070028</t>
  </si>
  <si>
    <t>327JG</t>
  </si>
  <si>
    <t>WOS:000087790300002</t>
  </si>
  <si>
    <t>Hatfield, EMC</t>
  </si>
  <si>
    <t>Do some like it hot?: Temperature as a possible determinant of variability in the growth of the Patagonian squid, Loligo gahi (Cephalopoda: Loliginidae)</t>
  </si>
  <si>
    <t>Loligo gahi; squid; age; growth; temperature; Falkland islands</t>
  </si>
  <si>
    <t>INCREMENT ANALYSIS; STATOLITH GROWTH; FINNED SQUID; LIFE-CYCLE; AGE; WATERS; MATURATION; OMMASTREPHIDAE; REPRODUCTION; ATLANTIC</t>
  </si>
  <si>
    <t>Loligo gahi were collected from bottom trawl samples taken around the Falkland Islands on both commercial and research vessels from January 1994 to November 1995. Commercial samples were taken from both seasons of the fishery (February-May, August-October), research samples were taken in January, June and November. A sub-sample of squid was taken from each sample to provide statoliths for age determination by statolith increment analysis. Sea surface temperature data were derived for an area encompassing the southerly portion of the fishing grounds for L. gahi to provide an indicator of seasonal temperature variations for that region. Age data were derived for 486 females and 445 males. Exponential and power growth models explained the fit to the size-at-age data to a similar extent. Age data were grouped by month and by season of hatch to test the hypothesis that seasonal temperature variability influences the size-at-age relationship in L. gahi. Analyses of covariance showed that the relationships of both predicted mean mantle length and predicted mean body mass per month of hatch, and per season of hatch resembled closely the trends in mean monthly sea surface temperature, with the squid hatched in the summer, i.e., at higher temperatures, being significantly larger than squid of the same age but hatched in the winter months. The growth rates for adult squid in this study were similar over the age range analysed. This study provides evidence that increased temperature during a squid's early growth period may accelerate growth markedly giving rise to significant differences in size-at-age for adult squid hatched at different temperatures. (C) 2000 Elsevier Science B.V. All rights reserved.</t>
  </si>
  <si>
    <t>Seallagh Alainn, Ardgour PH33 7AA, Scotland.</t>
  </si>
  <si>
    <t>cephalobroad@yahoo.com</t>
  </si>
  <si>
    <t>1872-6763</t>
  </si>
  <si>
    <t>10.1016/S0165-7836(99)00127-7</t>
  </si>
  <si>
    <t>320HV</t>
  </si>
  <si>
    <t>WOS:000087396500003</t>
  </si>
  <si>
    <t>Orlova, M</t>
  </si>
  <si>
    <t>Kinematic aspects of crystalline blocks of the Middle Jurassic-Early Cretaceous intrusive-volcanic formation of the Antarctic Peninsula and Argentine Islands</t>
  </si>
  <si>
    <t>GEOLOGICA CARPATHICA</t>
  </si>
  <si>
    <t>7th Scientific Meeting on New Trends Geomagnetism</t>
  </si>
  <si>
    <t>JUN 19-SEP 25, 2000</t>
  </si>
  <si>
    <t>MORAVANY CASTLE, SLOVAKIA</t>
  </si>
  <si>
    <t>Antarctic Peninsula; local tectonic deformations; paleo-magnetic analysis; horizontal displacements; turns of blocks</t>
  </si>
  <si>
    <t>Natl Acad Sci, Inst Geophys, UA-252680 Kiev 142, Ukraine</t>
  </si>
  <si>
    <t>National Academy of Sciences Ukraine; Subbotin Institute of Geophysics, National Academy of Sciences of Ukraine</t>
  </si>
  <si>
    <t>Orlova, M (corresponding author), Natl Acad Sci, Inst Geophys, Palladin Av 32, UA-252680 Kiev 142, Ukraine.</t>
  </si>
  <si>
    <t>SLOVAK ACADEMIC PRESS LTD</t>
  </si>
  <si>
    <t>BRATISLAVA</t>
  </si>
  <si>
    <t>PO BOX 57 NAM SLOBODY 6, 810 05 BRATISLAVA, SLOVAKIA</t>
  </si>
  <si>
    <t>1335-0552</t>
  </si>
  <si>
    <t>GEOL CARPATH</t>
  </si>
  <si>
    <t>Geol. Carpath.</t>
  </si>
  <si>
    <t>327PR</t>
  </si>
  <si>
    <t>WOS:000087802400020</t>
  </si>
  <si>
    <t>Elliot, DH; Fleming, TH</t>
  </si>
  <si>
    <t>Weddell triple junction: The principal focus of Ferrar and Karoo magmatism during initial breakup of Gondwana</t>
  </si>
  <si>
    <t>Ferrar; Karoo; Weddell; geochemistry; tectonics</t>
  </si>
  <si>
    <t>LARGE IGNEOUS PROVINCE; DRONNING-MAUD LAND; FLOOD BASALTS; WEST ANTARCTICA; MANTLE PLUMES; AR-40-AR-39 AGES; FALKLAND-ISLANDS; PETROGENESIS; AFRICA; DYKES</t>
  </si>
  <si>
    <t>Middle Jurassic Ferrar tholeiites of Antarctica were emplaced during a short time interval (&lt;1 m.y.) into an active rift system initiated in the Early Jurassic. Ferrar magmas were dispersed into the Antarctic sector of Gondwana from a source in the Weddell Sea region, within the thermal anomaly that also gave rise to the Karoo basaltic rocks of southern Africa. The Golden Gate lavas, part of the Karoo central area low-Ti tholeiites, show geochemical similarities to Ferrar rocks. Tectonic and geochemical relationships of the Ferrar and Karoo low-Ti magmas, which constitute a major part of the Jurassic Gondwana large igneous province, suggest that they were derived from a single source associated with a triple junction in the proto-Weddell Sea region.</t>
  </si>
  <si>
    <t>Ohio State Univ, Dept Geol Sci, Columbus, OH 43210 USA; Ohio State Univ, Byrd Polar Res Ctr, Columbus, OH 43210 USA</t>
  </si>
  <si>
    <t>Fleming, Thomas/0000-0001-7091-7699</t>
  </si>
  <si>
    <t>GEOLOGICAL SOC AMER, INC</t>
  </si>
  <si>
    <t>1943-2682</t>
  </si>
  <si>
    <t>10.1130/0091-7613(2000)28&lt;539:WTJTPF&gt;2.0.CO;2</t>
  </si>
  <si>
    <t>318YM</t>
  </si>
  <si>
    <t>WOS:000087312300015</t>
  </si>
  <si>
    <t>Rahn, T; Wahlen, M</t>
  </si>
  <si>
    <t>A reassessment of the global isotopic budget of atmospheric nitrous oxide</t>
  </si>
  <si>
    <t>ANTARCTIC ICE; NORTH PACIFIC; ARABIAN SEA; N2O; RATIO; AIR; FRACTIONATION; ENRICHMENT; EMISSIONS; WATERS</t>
  </si>
  <si>
    <t>A simple box model is developed which accounts for the natural and anthropogenic sources and sinks of tropospheric nitrous oxide. Stable isotopic terms are included as well to investigate what additional insight they might provide concerning the overall picture of the global nitrous oxide budget. It is seen that fractionation associated with ultraviolet photolysis in the stratosphere plays a key role in balancing the isotopic budget. it is also noted that increased production due to human influence should have a unique isotopic signature which should provide observable differences between preindustrial air trapped in polar firn or ice and modern air. This build-up of isotopically light, anthropogenic nitrous oxide can be thought of as an N2O Suess effect and should be observable in time series measurements of clean baseline atmospheric samples. High-precision records of such changes could lead to a better estimate of the preindustrial N2O isotopic signature as well as provide insight into the pathways of the anthropogenic sources.</t>
  </si>
  <si>
    <t>Rahn, T (corresponding author), CALTECH, Div Geol &amp; Planetary Sci 150 21, 1200 E Calif Blvd, Pasadena, CA 91125 USA.</t>
  </si>
  <si>
    <t>Rahn, Thom/C-5211-2012</t>
  </si>
  <si>
    <t>10.1029/1999GB900070</t>
  </si>
  <si>
    <t>323VR</t>
  </si>
  <si>
    <t>WOS:000087586100002</t>
  </si>
  <si>
    <t>Kepner, RL; Wharton, RA; Collier, RD; Cockell, CS; Jeffrey, WH</t>
  </si>
  <si>
    <t>UV radiation and potential biological effects beneath the perennial ice cover of an antarctic lake</t>
  </si>
  <si>
    <t>antarctic lakes; ice; ultraviolet radiation; UV spectra; biologically effective dose; attenuation</t>
  </si>
  <si>
    <t>ULTRAVIOLET-RADIATION; SEA-ICE; OPTICAL-PROPERTIES; SPECIES COMPOSITION; SOLAR-RADIATION; TOTAL OZONE; PHYTOPLANKTON; GROWTH; TRANSMISSION; LIGHT</t>
  </si>
  <si>
    <t>High-resolution spectral scans of solar ultraviolet radiation (UVR) were obtained directly beneath the 4.0-5.0 m thick, perennial ice cover of Lake Hoare, South Victoria Land, Antarctica. Both UVA (320-400 nm) and WE (280-320 nm) radiation were detectable beneath the ice using a diver-deployed, underwater scanning spectroradiometer which permitted accurate measurement in the 280-340 nm range, while avoiding effects of surface shading and/or hole effects. UVR at wavelengths &lt;310 nm was not detectable below the ice. This lower wavelength UVB appears to penetrate the Lake Hoare ice to depths of no more than 1.5 m during relatively cloud-free austral summer days. Based upon estimated biologically effective WR dosages and DNA dosimeter data, exposure of benthic and planktonic microbes to the UVR encountered immediately beneath the ice is unlikely to inhibit microbial metabolism. Although waters of oligotrophic antarctic lakes are highly transparent to UVR, the thick, high scattering and optically dense ice covers on many of these lakes offers organisms a degree of protection largely unavailable in temperate and tropical systems. Thinning or complete loss of these overlying ice covers is likely to have major consequences for the structure of antarctic lake microbial communities.</t>
  </si>
  <si>
    <t>Marist Coll, Sch Sci, Poughkeepsie, NY 12601 USA; No Nevada Sci Ctr, Desert Res Inst, Reno, NV 89512 USA; Western Nevada Community Coll, Dept Phys, Carson City, NV 89703 USA; Carnegie Inst Sci, Stanford, CA 94305 USA; Univ W Florida, Ctr Environm Diagnost &amp; Bioremediat, Pensacola, FL 32514 USA</t>
  </si>
  <si>
    <t>Marist College; Nevada System of Higher Education (NSHE); Desert Research Institute NSHE; Nevada System of Higher Education (NSHE); Western Nevada College; Carnegie Institution for Science; State University System of Florida; University of West Florida</t>
  </si>
  <si>
    <t>Marist Coll, Sch Sci, 290 N Rd, Poughkeepsie, NY 12601 USA.</t>
  </si>
  <si>
    <t>JUN 1</t>
  </si>
  <si>
    <t>10.1023/A:1003915227163</t>
  </si>
  <si>
    <t>341FJ</t>
  </si>
  <si>
    <t>WOS:000088580100015</t>
  </si>
  <si>
    <t>Constable, AJ; de la Mare, WK; Agnew, DJ; Everson, I; Miller, D</t>
  </si>
  <si>
    <t>Managing fisheries to conserve the Antarctic marine ecosystem: practical implementation of the Convention on the Conservation of Antarctic Marine Living Resources (CCAMLR)</t>
  </si>
  <si>
    <t>ICES/SCOR Symposium on Ecosystem Effects of Fishing</t>
  </si>
  <si>
    <t>MAR 15-19, 1999</t>
  </si>
  <si>
    <t>INST RECH DEV, MONTPELLIER, FRANCE</t>
  </si>
  <si>
    <t>INST RECH DEV</t>
  </si>
  <si>
    <t>ecosystem management; icefish; krill; management strategies; precautionary approach; toothfish</t>
  </si>
  <si>
    <t>SEA-ICE EXTENT; DIOMEDEA-EXULANS; SOUTH-GEORGIA; KRILL; MANAGEMENT; DECLINE</t>
  </si>
  <si>
    <t>We aim to identify the important steps in the evolution of the ecosystem approach to management under the Convention on the Conservation of Antarctic Marine Living Resources (CCAMLR). The first section provides the background to CCAMLR, including the formulation of the convention and its objectives, its operation, and the historical trends in fisheries. Later sections describe (i) the reasons why a precautionary approach to setting catch limits evolved, (ii) how the precautionary approach takes account of ecosystem objectives and provides for the orderly development of new fisheries, and (iii) how the use of ecosystem indicators in the setting of catch limits and for monitoring the effects of fishing is being evaluated. The final section describes the general framework being used to develop a feedback-management system that incorporates objectives, target species assessments and ecosystem assessments. The CCAMLR experience provides two important lessons. First, conservation objectives can only be achieved by implementing management measures, even when very little is known. Second, methods were found for achieving scientific consensus despite the uncertainties surrounding estimates of parameters and the behaviour of the system. CCAMLR is yet to face the real test in its ecosystem approach, the development of the krill fishery. Before this occurs, appropriate management procedures have to be developed to avoid localized effects on the ecosystem and to provide effective feedbacks on the effects of fishing through its monitoring programme. (C) 2000 International Council for the Exploration of the Sea.</t>
  </si>
  <si>
    <t>Australian Antarctic Div, Kingston, Tas 7050, Australia; Marine &amp; Ecol Res Pty Ltd, Kenmore, Qld 4069, Australia; Univ London Imperial Coll Sci Technol &amp; Med, TH Huxley Sch Environm Earth Sci &amp; Engn, Renewable Resources Assessment Grp, London SW7 1NA, England; British Antarctic Survey, Cambridge CB3 0ET, England; Marine &amp; Coastal Management, ZA-8012 Cape Town, South Africa</t>
  </si>
  <si>
    <t>Australian Antarctic Division; Imperial College London; UK Research &amp; Innovation (UKRI); Natural Environment Research Council (NERC); NERC British Antarctic Survey</t>
  </si>
  <si>
    <t>Constable, AJ (corresponding author), Australian Antarctic Div, Channel Highway, Kingston, Tas 7050, Australia.</t>
  </si>
  <si>
    <t>10.1006/jmsc.2000.0725</t>
  </si>
  <si>
    <t>346PL</t>
  </si>
  <si>
    <t>WOS:000088880200036</t>
  </si>
  <si>
    <t>De Wit, MJ</t>
  </si>
  <si>
    <t>Governing the frozen commons: The Antarctic regime and environmental protection</t>
  </si>
  <si>
    <t>Univ Cape Town, ZA-7700 Rondebosch, South Africa</t>
  </si>
  <si>
    <t>De Wit, MJ (corresponding author), Univ Cape Town, ZA-7700 Rondebosch, South Africa.</t>
  </si>
  <si>
    <t>330TQ</t>
  </si>
  <si>
    <t>WOS:000087977600074</t>
  </si>
  <si>
    <t>Wawrzyniak, M; Rosnet, E</t>
  </si>
  <si>
    <t>Antarctic winterers' debriefing: Methodological and clinical features</t>
  </si>
  <si>
    <t>INTERNATIONAL JOURNAL OF PSYCHOLOGY</t>
  </si>
  <si>
    <t>Univ Picardie, Roquetoire, France; Univ Reims, LPA, F-51100 Reims, France</t>
  </si>
  <si>
    <t>Picardie Universites; Universite de Picardie Jules Verne (UPJV); Universite de Reims Champagne-Ardenne</t>
  </si>
  <si>
    <t>PSYCHOLOGY PRESS</t>
  </si>
  <si>
    <t>HOVE</t>
  </si>
  <si>
    <t>27 CHURCH RD, HOVE BN3 2FA, EAST SUSSEX, ENGLAND</t>
  </si>
  <si>
    <t>0020-7594</t>
  </si>
  <si>
    <t>INT J PSYCHOL</t>
  </si>
  <si>
    <t>Int. J. Psychol.</t>
  </si>
  <si>
    <t>JUN-AUG</t>
  </si>
  <si>
    <t>Psychology, Multidisciplinary</t>
  </si>
  <si>
    <t>337XP</t>
  </si>
  <si>
    <t>WOS:000088388803185</t>
  </si>
  <si>
    <t>Yochelson, EL</t>
  </si>
  <si>
    <t>Women in the Antarctic.</t>
  </si>
  <si>
    <t>ISIS</t>
  </si>
  <si>
    <t>Natl Museum Nat Hist, Dept Paleobiol, Washington, DC 20560 USA</t>
  </si>
  <si>
    <t>Yochelson, EL (corresponding author), Natl Museum Nat Hist, Dept Paleobiol, Washington, DC 20560 USA.</t>
  </si>
  <si>
    <t>5720 SOUTH WOODLAWN AVE, CHICAGO, IL 60637-1603 USA</t>
  </si>
  <si>
    <t>0021-1753</t>
  </si>
  <si>
    <t>Isis</t>
  </si>
  <si>
    <t>10.1086/384829</t>
  </si>
  <si>
    <t>History &amp; Philosophy Of Science</t>
  </si>
  <si>
    <t>History &amp; Philosophy of Science</t>
  </si>
  <si>
    <t>343YA</t>
  </si>
  <si>
    <t>WOS:000088729400122</t>
  </si>
  <si>
    <t>Trukhin, VI; Bagin, VI; Zhilyaeva, VA; Bulychev, AA; Gilod, LA; Shreider, AA</t>
  </si>
  <si>
    <t>Magnetism of the easternmost segment of the American-Antarctic mid-ocean ridge</t>
  </si>
  <si>
    <t>IZVESTIYA-PHYSICS OF THE SOLID EARTH</t>
  </si>
  <si>
    <t>BOUVET TRIPLE JUNCTION; ATLANTIC RIDGE; BASALTS</t>
  </si>
  <si>
    <t>Results derived from the combined studies of the anomalous geomagnetic field and magnetic properties of ocean-floor rocks from the American-Antarctic mid-ocean ridge in the Bouvet triple junction region. The northeastern termination of the ridge is shown to be under conditions of an undernourished rift, which transforms the ridge into a complexly deformed depression structure.</t>
  </si>
  <si>
    <t>Moscow MV Lomonosov State Univ, Fac Phys, Moscow 119899, Russia; Russian Acad Sci, Schmidt United Inst Phys Earth, Moscow 123810, Russia; Moscow MV Lomonosov State Univ, Fac Geol, Moscow 119899, Russia; Russian Acad Sci, PP Shirshov Oceanol Inst, Moscow 117851, Russia</t>
  </si>
  <si>
    <t>Lomonosov Moscow State University; Russian Academy of Sciences; Schmidt Institute of Physics of the Earth of the Russian Academy of Sciences; Lomonosov Moscow State University; Russian Academy of Sciences; Shirshov Institute of Oceanology</t>
  </si>
  <si>
    <t>Moscow MV Lomonosov State Univ, Fac Phys, Moscow 119899, Russia.</t>
  </si>
  <si>
    <t>1069-3513</t>
  </si>
  <si>
    <t>1555-6506</t>
  </si>
  <si>
    <t>IZV-PHYS SOLID EART+</t>
  </si>
  <si>
    <t>Izv.-Phys. Solid Earth</t>
  </si>
  <si>
    <t>351BJ</t>
  </si>
  <si>
    <t>WOS:000089135900003</t>
  </si>
  <si>
    <t>Di Donfrancesco, G; Adriani, A; Gobbi, GP; Cairo, F</t>
  </si>
  <si>
    <t>Lidar observations of the stratospheric aerosol during 1993 above McMurdo Station, Antarctica</t>
  </si>
  <si>
    <t>POLAR VORTEX; OZONE HOLE; TEMPERATURE; WINTER; TRANSPORT; PINATUBO; DENITRIFICATION; ATMOSPHERE; MORPHOLOGY; EVOLUTION</t>
  </si>
  <si>
    <t>Scattering ratios of stratospheric aerosol obtained by lidar at McMurdo Station, Antarctica (78 degrees S, 167 degrees E), during February-December 1993, have been analysed in relation to the stratospheric polar vortex. Seasonal changes in their properties are used to infer dynamic processes occurring in the Antarctic stratosphere during the year. Descent rates are calculated and compared to values obtained with different studies. Our analysis suggests that the apparent springtime cleansing of the Antarctic stratosphere is the result of subsidence of air masses inside the vortex and of sedimentation of larger particles. Below 20 km of height, an enhancement of the aerosol descent rates during July was associated with high occurrence of Polar Stratospheric Cloud events above McMurdo Station in that period. A synoptic approach using potential vorticity values at 425 K above the station has been employed to figure out the behaviour of the aerosol across the vortex boundary during its early formation. (C) 2000 Elsevier Science Ltd. All rights reserved.</t>
  </si>
  <si>
    <t>CNR, Ist Fis Atmosfera, I-00133 Rome, Italy; CRE Casaccia, ENEA Amb, I-00060 SM Di Galeria, Italy</t>
  </si>
  <si>
    <t>Consiglio Nazionale delle Ricerche (CNR); Italian National Agency New Technical Energy &amp; Sustainable Economics Development</t>
  </si>
  <si>
    <t>Di Donfrancesco, G (corresponding author), CNR, Ist Fis Atmosfera, I-00133 Rome, Italy.</t>
  </si>
  <si>
    <t>; cairo, francesco/C-7460-2015</t>
  </si>
  <si>
    <t>Adriani, Alberto/0000-0003-4998-8008; cairo, francesco/0000-0002-2886-2601</t>
  </si>
  <si>
    <t>10.1016/S1364-6826(00)00061-4</t>
  </si>
  <si>
    <t>344GY</t>
  </si>
  <si>
    <t>WOS:000088751900001</t>
  </si>
  <si>
    <t>Gabis, IP; Troshichev, OA</t>
  </si>
  <si>
    <t>Influence of short-term changes in solar activity on baric field perturbations in the stratosphere and troposphere</t>
  </si>
  <si>
    <t>MAGNETIC-SECTOR STRUCTURE; CIRCULATION; ATMOSPHERE; VORTICITY; IRRADIANCE; CONNECTION; AEROSOLS; WIND; QBO</t>
  </si>
  <si>
    <t>Influence of short-term changes in solar activity on baric (pressure) field perturbations is studied using such characteristics as the Sazonov index (IS), describing the intensity of meridional transfer, the Blinova index (IB), describing the intensity of zonal transfer, and 'vorticity area index' (VAI) describing the tropospheric cyclonic perturbations, The epoch superposition method is used to reveal effects of the solar central meridian (CM) passage of active regions, the Forbush decreases (FD) in galactic cosmic rays, and the solar proton (SP) events. The results of the analysis show that influence of short-term changes in the solar activity on baric field perturbations is the most evident in the stratosphere (30 mbar-level). The meridional circulation in case of the FD and SP events begin to increase about 5-7 days before the key date, reaches maximum nearby the key date and decays after the key date. The meridional circulation in case of the solar CM passage of active regions starts to increase after the key date and reaches the maximum by 5-6 days. Fluctuations of baric field within periods of 5-7 days typical of meridional and zonal transfers in troposphere (500 mbar-level) are evidently connected with internal dynamics of the atmosphere, not with the effects of solar activity. VAI characterizing cyclonic activity in the troposphere, shows the striking correspondence to changes of the meridional circulation in the stratosphere. Comparison of changes in the stratospheric perturbations with behavior of the UV irradiance in course of the FD and SP events show their full correspondence at the initial stage of these processes. The conclusion is made that growth of baric perturbations observed in the stratosphere in associations with the FD and SP events before the key date is caused by the solar UV irradiance increase, whereas decay of the baric perturbations after the key date is related to direct influence of the solar energetic corpuscular fluxes on the stratosphere, (C) 2000 Elsevier Science Ltd. All rights reserved.</t>
  </si>
  <si>
    <t>Troshichev, OA (corresponding author), Arctic &amp; Antarctic Res Inst, 38 Bering St, St Petersburg 199397, Russia.</t>
  </si>
  <si>
    <t>10.1016/S1364-6826(00)00063-8</t>
  </si>
  <si>
    <t>WOS:000088751900002</t>
  </si>
  <si>
    <t>Baines, PG; Cai, WJ</t>
  </si>
  <si>
    <t>Analysis of an interactive instability mechanism for the Antarctic Circumpolar Wave</t>
  </si>
  <si>
    <t>SEA-SURFACE TEMPERATURE; ATMOSPHERE; OCEAN; VARIABILITY; CIRCULATION; ANOMALIES</t>
  </si>
  <si>
    <t>An interactive atmosphere-ocean instability mechanism that reproduces some salient properties of the observed Antarctic Circumpolar Wave and also its manifestation in the Commonwealth Scientific and Industrial Research Organisation (CSIRO) Mark 2 coupled model is analyzed with a more complete treatment than that studied by others. It is suggested that this interaction mechanism is important in maintaining this phenomenon in both the model and the real atmosphere-ocean but is not strong enough to initiate it. Through use of a simple model consisting of a zonally periodic midlatitude beta plane with a uniform mean north-south temperature gradient, a barotropic atmosphere, and a two-layer ocean with an inactive lower layer, the stability of uniform zonal flow to small perturbations was analyzed. The perturbation equations describe the velocity and temperature fields in both the atmospheric and oceanic layers and include the exchange in momentum and heat between them by surface fluxes. The interaction occurs between long (most notably wavenumbers 2 and 3) barotropic Rossby waves in the atmosphere forced by surface heat flux from the ocean and similarly long waves in the upper layer of the ocean forced by the wind stress curl. Growth times are long-on the order of several decades-indicating that modes can be sustained by the interaction process but that they may need to be energized by other mechanisms to reach realistic amplitudes in a reasonable time.</t>
  </si>
  <si>
    <t>CSIRO, Div Atmospher Res, Aspendale, Vic 3195, Australia</t>
  </si>
  <si>
    <t>Baines, PG (corresponding author), CSIRO, Div Atmospher Res, PMB 1, Aspendale, Vic 3195, Australia.</t>
  </si>
  <si>
    <t>10.1175/1520-0442(2000)013&lt;1831:AOAIIM&gt;2.0.CO;2</t>
  </si>
  <si>
    <t>322WT</t>
  </si>
  <si>
    <t>WOS:000087532800003</t>
  </si>
  <si>
    <t>Dickinson, WR</t>
  </si>
  <si>
    <t>Hydro-isostatic and tectonic influences on emergent Holocene paleoshorelines in the Mariana Islands, western Pacific Ocean</t>
  </si>
  <si>
    <t>JOURNAL OF COASTAL RESEARCH</t>
  </si>
  <si>
    <t>algal rim; forearc; fringing reef; Guam; island arc; paleoreef; Rota; Saipan; seismicity; shoreline notch; Tinian</t>
  </si>
  <si>
    <t>ANTARCTIC ICE-SHEET; RELATIVE SEA-LEVEL; CAROLINE ISLANDS; VOLCANIC-ROCKS; AGE; ARC; GEOCHEMISTRY; EVOLUTION; ORIGIN; RECORD</t>
  </si>
  <si>
    <t>Emergent paleoreef flats and paleoshoreline notches in the Mariana Islands document the effects of a mid-Holocene highstand in regional hydro-isostatic sea level and post-mid-Holocene forearc uplift of selected islands. Global hydro-isostatic calculations imply for Micronesia an areally variable magnitude of 0.6-2.7 m for the mid-Holocene highstand, relative to modern sea level, and radiocarbon ages for emergent reef flats and rubble terraces indicate a peak during the interval 4750-2250 yrs BP. In the tectonically stable region of Micronesia southeast of the Mariana Islands, emergences of paleoshorelines by 1.1-2.4 m closely match hydro-isostatic expectations for each island group. In the Mariana Islands, Saipan, Tinian, and southern Guam display emergent mid-Holocene paleoreef flats and paleoshoreline notches standing 1.2-2.0 m above modern counterparts, within the range of 0.8-2.1 m expected from hydro-isostatic theory. With allowance for minor tectonic subsidence locally, average hydro-isostatic emergence for the Mariana Islands is estimated as 1.8 m. Northern Guam and Rota display paleoshoreline emergences in excess of hydro-isostatic expectation, implying 0.8 m and 1.2 m of post-mid-Holocene tectonic uplift, respectively. Subduction of an oceanic seamount chain beneath the segment of the forearc belt beneath Rota and northern Guam probably accounts for subregional tectonic uplift, and also for enhanced interplate coupling responsible for anomalous seismicity. Post-mid-Holocene drawdown in relative sea level influenced the development of attractive environments for human settlement, which began in the Mariana Islands c. 3500 yrs BP.</t>
  </si>
  <si>
    <t>Dickinson, WR (corresponding author), Univ Arizona, Dept Geosci, Tucson, AZ 85721 USA.</t>
  </si>
  <si>
    <t>COASTAL EDUCATION &amp; RESEARCH FOUNDATION</t>
  </si>
  <si>
    <t>810 EAST 10TH STREET, LAWRENCE, KS 66044 USA</t>
  </si>
  <si>
    <t>0749-0208</t>
  </si>
  <si>
    <t>J COASTAL RES</t>
  </si>
  <si>
    <t>J. Coast. Res.</t>
  </si>
  <si>
    <t>362BM</t>
  </si>
  <si>
    <t>WOS:000089758800018</t>
  </si>
  <si>
    <t>Wharton, DA; Judge, KF; Worland, MR</t>
  </si>
  <si>
    <t>Cold acclimation and cryoprotectants in a freeze-tolerant Antarctic nematode, Panagrolaimus davidi</t>
  </si>
  <si>
    <t>liquid culture; freeze tolerance; intracellular freezing; trehalose; glycerol</t>
  </si>
  <si>
    <t>DIFFERENTIAL SCANNING CALORIMETRY; HEMIDEINA-MAORI ORTHOPTERA; HAPLA 2ND-STAGE JUVENILES; ALPINE-WETA; INFECTIVE JUVENILES; SEASONAL-VARIATION; HUTTON ORTHOPTERA; STENOPELMATIDAE; HARDINESS; ICE</t>
  </si>
  <si>
    <t>Panagrolaimus davidi is a freeze-tolerant Antarctic nematode which survives extensive intracellular freezing. This paper describes the development of culture techniques which provide clean samples, with a high degree of freeze tolerance and in sufficient quantities for the analysis of potential cryoprotactants. Cultures grown at 20 degrees C survived a short-term freezing stress but survival declined with the time spent frozen. Acclimation of cultures at 5 degrees C enhanced the long-term survival of freezing. Starvation, however, reduced the nematode's ability to survive short-term freezing. The principal cryoprotectants detected by gas chromatography were trehalose and glycerol. The levels of trehalose, but not those of glycerol, increased significantly after acclimation, Trehalose may stabilise membranes and protect them against the dehydrating effects of the osmo tic stresses resulting from freeze concentration effects but other factors, such as recrystallisation inhibition, may be involved in long-term survival.</t>
  </si>
  <si>
    <t>Univ Otago, Dept Zool, Dunedin, New Zealand; British Antarctic Survey, NERC, Cambridge CB3 0ET, England</t>
  </si>
  <si>
    <t>University of Otago; UK Research &amp; Innovation (UKRI); Natural Environment Research Council (NERC); NERC British Antarctic Survey</t>
  </si>
  <si>
    <t>Wharton, DA (corresponding author), Univ Otago, Dept Zool, POB 56, Dunedin, New Zealand.</t>
  </si>
  <si>
    <t>Wharton, David/0000-0001-6369-4984</t>
  </si>
  <si>
    <t>10.1007/s003600000106</t>
  </si>
  <si>
    <t>334VE</t>
  </si>
  <si>
    <t>WOS:000088205700008</t>
  </si>
  <si>
    <t>Skin temperatures during free-ranging swimming and diving in Antarctic fur seals</t>
  </si>
  <si>
    <t>thermoregulation; polar; low temperature; physiology; pinniped; Antarctic fur seal; Arctocephalus gazella</t>
  </si>
  <si>
    <t>BOTTLE-NOSED DOLPHINS; BODY-TEMPERATURE; HEART-RATE; OXYGEN-CONSUMPTION; TURSIOPS-TRUNCATUS; KING PENGUINS; WEDDELL SEALS; BEHAVIOR; THERMOREGULATION; WHALES</t>
  </si>
  <si>
    <t>This study tests the hypothesis that an endothermic homeotherm should minimise heat flux in cold polar waters by minimising skin temperature. Temperature variability was measured at the surface of the skin of three Antarctic fur seals (Arctocephalus gazella) at intervals of 2s over a total of 9.7 days while they were swimming and diving freely in polar waters at temperatures of 1.5-4 degrees C. The temperature difference (Delta T) between skin on the dorsal thorax and the water varied from more than 20 degrees C to close to equality over periods of less than 1 h. Shorter-term variations in Delta T of up to 5 degrees C occurred in association with diving, although these types of variations also occurred without diving. In general, Delta T began to decline during the descent phase of a dive and began to increase again during the ascent or at the end of the dive. One of the three individuals examined showed little variation in Delta T, which remained low (approximately 3 degrees C) throughout the experiment. In the other two fur seals, Delta T tended to decline during periods of sustained diving and usually increased during periods spent at the surface. Mean calculated heat flux varied from 95 to 236 W m(-2) depending on the individual. Metabolic rates based on these calculated heat fluxes were towards the lower end of those measured in previous studies using different methodologies. The study has shown that Antarctic fur seal skin temperature is highly dynamic and suggests that the thoracic surface is an organ used for active thermoregulation.</t>
  </si>
  <si>
    <t>British Antarctic Survey, NERC, Cambridge CB4 5AJ, England</t>
  </si>
  <si>
    <t>Boyd, IL (corresponding author), British Antarctic Survey, NERC, Madingley Rd, Cambridge CB4 5AJ, England.</t>
  </si>
  <si>
    <t>329ZR</t>
  </si>
  <si>
    <t>WOS:000087938800013</t>
  </si>
  <si>
    <t>Fernandez, DA; Calvo, J; Franklin, CE; Johnston, IA</t>
  </si>
  <si>
    <t>Muscle fibre types and size distribution in sub-antarctic notothenioid fishes</t>
  </si>
  <si>
    <t>fish; skeletal muscle fibres; growth; sub-Antarctic fish; Notothenioidei</t>
  </si>
  <si>
    <t>FORCE-VELOCITY CHARACTERISTICS; CARP CYPRINUS-CARPIO; WHITE AXIAL MUSCLE; HYPERTROPHIC GROWTH; LATERAL MUSCLE; POWER OUTPUT; FIBER TYPES; TEMPERATURE; METABOLISM; ADAPTATION</t>
  </si>
  <si>
    <t>The presumptive tonic muscles fibres of Cottoperca gobio, Champsocephalus esox, Harpagifer bispinis, Eleginops maclovinus, Patagonothen tessellata, P. cornucola and Paranotothenia magellanica stained weakly or were unstained for glycogen, lipid, succinic dehydrogenase (SDHase) and myosin ATPase (mATPase) activity. Slow, intermediate and fast twitch muscle fibres, distinguished on the basis of the pH stability of their mATPases, showed intense, moderate and low staining activity for SDHase, respectively. Slow fibres were the major component of the pectoral fin adductor profundis muscle. The proportion of different muscle fibre types varied from the proximal to distal end of the muscle, but showed relatively little variation between species. The myotomes contained a lateral superficial strip of red muscle composed of presumptive tonic, slow twitch and intermediate fibres, thickening to a major wedge at the horizontal septum. All species also had characteristic secondary dorsal and ventral wedges of red muscle. The relative abundance and localization of muscle fibre types in the red muscle varied between species and with body size in the protandric hermaphrodite E. maclovinus. The frequency distribution of diameters for fast twitch muscle fibres, the major component of deep white muscle, was determined in fish of a range of body sizes. The absence of fibres &lt;20 mu m diameter was used as a criterion for the cessation of muscle fibre recruitment. Fibre recruitment had stopped in P, tessellata of 13.8 cm L-T and E, maclovinus of 32.8 cm L-T, equivalent to 49 and 36.5% of their recorded maximum sizes respectively. As a result in 20-cm P. tessellata, the maximum fibre diameter was 300 mu m and 36% of fibres were in excess of 200 mu m The unusually large maximum fibre diameter, the general arrangement of the red muscle layer and the extreme pH lability of the mATPase of fast twitch fibres are all common characters of the sub-Antarctic and Antarctic Notothenioids, including Cottoperca gobio, the suggested sister group to the Notothenidae. (C) 2000 The Fisheries Society of the British Isles.</t>
  </si>
  <si>
    <t>CNR, Ctr Austral Inves Cient, CADIC, Ushuaia, Tierra del Fueg, Argentina; Univ Queensland, Dept Zool, Brisbane, Qld 4072, Australia; Univ St Andrews, Sch Environm &amp; Evolutionary Biol, Gatty Marine Lab, St Andrews KY16 8LB, Fife, Scotland</t>
  </si>
  <si>
    <t>University of Queensland; University of St Andrews</t>
  </si>
  <si>
    <t>CNR, Ctr Austral Inves Cient, CADIC, 9410 CC92, Ushuaia, Tierra del Fueg, Argentina.</t>
  </si>
  <si>
    <t>rvcalvo@infovia.com.ar</t>
  </si>
  <si>
    <t>Johnston, Ian A/D-6592-2013; Johnston, Ian A./AAE-2044-2019; Franklin, Craig/G-7343-2012</t>
  </si>
  <si>
    <t>Franklin, Craig/0000-0003-1315-3797; Fernandez, Daniel Alfredo/0000-0002-3367-4138</t>
  </si>
  <si>
    <t>1095-8649</t>
  </si>
  <si>
    <t>10.1006/jfbi.2000.1254</t>
  </si>
  <si>
    <t>331WG</t>
  </si>
  <si>
    <t>WOS:000088041200001</t>
  </si>
  <si>
    <t>Meredith, NP; Horne, RB; Johnstone, AD; Anderson, RR</t>
  </si>
  <si>
    <t>The temporal evolution of electron distributions and associated wave activity following substorm injections in the inner magnetosphere</t>
  </si>
  <si>
    <t>PITCH-ANGLE DIFFUSION; PLASMA; ORBIT; PRECIPITATION</t>
  </si>
  <si>
    <t>The temporal evolution of electron distributions and associated wave activity following substorm injections in the inner magnetosphere are investigated using data from the CRRES satellite. Equatorial electron distributions and concomitant wave spectra outside the plasmapause on the nightside of the Earth are studied as a function of time since injection determined from the auroral-electrojet index (AE). The electron cyclotron harmonic (ECH) wave amplitudes are shown to be very sensitive to small modeling errors in the location of the magnetic equator. They are best understood at the ECH equator, defined by the local, maximum in the ECH wave activity in the vicinity of the nominal magnetic equator, suggesting that the ECH equator is a better measure of the location of the true equator. Strong ECH and whistler mode wave amplitudes are associated with the injected distributions and at the ECH equator, in the region 6.0 less than or equal to L &lt; 7.0, exponential fits reveal wave amplitude decay time constants of 6.3+/-1.2 and 4.6+/-0.7 hours, respectively. Pancake electron distributions are seen to develop from injected distributions that are nearly isotropic in velocity space and, in this region, are seen to form on a similar timescale of approximately 4 hours suggesting that both wave types are involved in their production. The timescale for pancake production and wave decay is comparable with the average time interval between substorm events so that the wave-particle interactions are almost continually present in this region leading to a continual supply of electrons to power the diffuse aurora. In the region 3.8 less than or equal to L &lt; 6.0 the timescale for wave decay at the ECH equator is 2.3 +/- 0.6 and 1.1 +/- 0.2 hours for ECH waves and whistler mode waves respectively, although the pancakes in this region show no clear evolution as a function of time.</t>
  </si>
  <si>
    <t>UCL, Mullard Space Sci Lab, Dorking RH5 6NT, Surrey, England; British Antarctic Survey, NERC, Cambridge CB3 0ET, England; Univ Iowa, Dept Phys &amp; Astron, Iowa City, IA 52242 USA</t>
  </si>
  <si>
    <t>University of London; University College London; UK Research &amp; Innovation (UKRI); Natural Environment Research Council (NERC); NERC British Antarctic Survey; University of Iowa</t>
  </si>
  <si>
    <t>UCL, Mullard Space Sci Lab, Holmbury St Mary, Dorking RH5 6NT, Surrey, England.</t>
  </si>
  <si>
    <t>npm@mssl.ucl.ac.uk; r.horne@bas.ac.uk; anderson@iowave.physics.uiowa.edu</t>
  </si>
  <si>
    <t>Horne, Richard B/U-3764-2019; Meredith, Nigel P/C-5806-2018</t>
  </si>
  <si>
    <t>Horne, Richard B/0000-0002-0412-6407; Meredith, Nigel/0000-0001-5032-3463</t>
  </si>
  <si>
    <t>A6</t>
  </si>
  <si>
    <t>10.1029/2000JA900010</t>
  </si>
  <si>
    <t>319QD</t>
  </si>
  <si>
    <t>WOS:000087351900031</t>
  </si>
  <si>
    <t>Clilverd, MA; Jenkins, B; Thomson, NR</t>
  </si>
  <si>
    <t>Plasmaspheric storm time erosion</t>
  </si>
  <si>
    <t>WHISTLER MODE SIGNALS; ELECTRON-DENSITY; MAGNETIC STORM; GROUP DELAYS; RECOVERY; FIELDS</t>
  </si>
  <si>
    <t>Unusually low whistler mode group delay times are observed by VLF Doppler receivers at both Faraday, Antarctica, and Dunedin, New Zealand, following magnetic storms. These are typically caused by plasmaspheric electron concentration depletions near L=2.4 and not by; changes in the VLF wave propagation path. Using a data set that is almost continuous since 1986, we find that depletions during storms in the solar minimum of 1995 are significantly deeper than in the minimum of 1986. Event studies at Faraday show that the electron concentration depletions caused by storms were about a factor of 2 in 1986 and a factor of 3-4 in 1995, independent of the time of year. However, the depletions observed bg both sites are significantly deeper than those observed in 1958 and 1961 using natural whistlers (i.e., factors of 2-4 compared to 1.3). The Sheffield University Plasmasphere Ionosphere Model (SUPIM) has been used to investigate possible causes of the plasmaspheric electron concentration depletions observed in the whistler mode data. Thermospheric parameters, including a reduction in the concentration of neutral hydrogen and oxygen at all altitudes, were perturbed by a factor of 10 from their normal levels. However, the plasmaspheric depletions produced were only of the order of 10% after 27 hours. It is unlikely therefore that thermospheric modifications alone art! responsible for the depletions observed in the data. Additionally, a tube of plasma was moved to higher L shell under the influence of an equatorial meridional E x B drift velocity of 1000 m s(-1) and showed levels of depiction of about a factor of 2. Although it is possible to generate plasmaspheric concentration depletions using the drifting tube model, the depletions are smaller than those observed and the outward E x B drift velocity needed is a factor of 2 greater than those reported previously at L=2.4. It is therefore unlikely that the tube drifting mechanism is the principal cause of tl le observed plasmaspheric electron concentration depletions at L=2.4. Although no mechanism is clearly identified in this study, the ground-based results presented in this paper indicate erosion levels of similar structure and magnitude to electron concentration profiles from the ISEE 1 satellite in the aftermath of magnetic disturbances during 1983, thus providing a long-term record of plasmaspheric erosion.</t>
  </si>
  <si>
    <t>British Antarctic Survey, Upper Atmospher Sci Div, Cambridge CB3 0ET, England; Univ Otago, Dept Phys, Dunedin, New Zealand</t>
  </si>
  <si>
    <t>British Antarctic Survey, Upper Atmospher Sci Div, Madingley Rd, Cambridge CB3 0ET, England.</t>
  </si>
  <si>
    <t>m.clilverd@bas.ac.uk; thomson@physics.otago.ac.nz</t>
  </si>
  <si>
    <t>10.1029/1999JA900497</t>
  </si>
  <si>
    <t>WOS:000087351900038</t>
  </si>
  <si>
    <t>Mehta, SK; Pierson, DL; Cooley, H; Dubow, R; Lugg, D</t>
  </si>
  <si>
    <t>Epstein-Barr virus reactivation associated with diminished cell-mediated immunity in antarctic expeditioners</t>
  </si>
  <si>
    <t>JOURNAL OF MEDICAL VIROLOGY</t>
  </si>
  <si>
    <t>Antarctica; Epstein-Barr virus; cell-mediated immunity</t>
  </si>
  <si>
    <t>DELAYED-HYPERSENSITIVITY; DURATION MISSIONS; HERPES-SIMPLEX; HEALTHY-ADULTS; SPACE-FLIGHT; SYSTEM; SPACEFLIGHT; MULTITEST; STRESS</t>
  </si>
  <si>
    <t>Epstein-Barr virus (EBV) reactivation and cell-mediated immune (CMI) responses were followed in 16 Antarctic expeditioners during winter-over isolation at 2 Australian National Antarctic Research Expedition stations. Delayed-type hypersensitivity (DTH) skin testing was used as an indicator of the CMI response, that was evaluated 2 times before winter isolation and 3 times during isolation. At all 5 evaluation times, 8 or more of the 16 subjects had a diminished CMI response. Diminished DTH was observed on every test occasion in 4/16 subjects; only 2/16 subjects exhibited normal DTH responses for all 5 tests. A polymerase chain reaction (PCR) assay was used to detect EBV DNA in saliva specimens collected before, during, and after the winter isolation. EBV DNA was present in 17% (111/642) of the saliva specimens; all 16 subjects shed EBV in their saliva on at least 1 occasion. The probability of EBV shedding increased (P = 0.013) from 6% before or after winter isolation to 13% during the winter period. EBV appeared in saliva during the winter isolation more frequently (P &lt; 0.0005) when DTH response was diminished than when DTH was normal. The findings indicate that the psychosocial, physical, and other stresses associated with working and living in physical isolation during the Antarctic winter result in diminished CMI and an accompanying increased reactivation and shedding of latent viruses. Published 2000 Wiley-Liss, Inc.</t>
  </si>
  <si>
    <t>NASA, Lyndon B Johnson Space Ctr, Life Sci Res Labs, Houston, TX 77058 USA; Enterprise Advisory Serv Inc, Houston, TX USA; Australian Antarctic Div, Hobart, Tas, Australia</t>
  </si>
  <si>
    <t>National Aeronautics &amp; Space Administration (NASA); NASA Johnson Space Center; Australian Antarctic Division</t>
  </si>
  <si>
    <t>Pierson, DL (corresponding author), NASA, Lyndon B Johnson Space Ctr, Life Sci Res Labs, Mail Code SD3, Houston, TX 77058 USA.</t>
  </si>
  <si>
    <t>WILEY-LISS</t>
  </si>
  <si>
    <t>DIV JOHN WILEY &amp; SONS INC, 605 THIRD AVE, NEW YORK, NY 10158-0012 USA</t>
  </si>
  <si>
    <t>0146-6615</t>
  </si>
  <si>
    <t>J MED VIROL</t>
  </si>
  <si>
    <t>J. Med. Virol.</t>
  </si>
  <si>
    <t>10.1002/(SICI)1096-9071(200006)61:2&lt;235::AID-JMV10&gt;3.0.CO;2-4</t>
  </si>
  <si>
    <t>Virology</t>
  </si>
  <si>
    <t>309JR</t>
  </si>
  <si>
    <t>WOS:000086765200010</t>
  </si>
  <si>
    <t>Courtright, EM; Wall, DH; Virginia, RA; Frisse, LM; Vida, JT; Thomas, WK</t>
  </si>
  <si>
    <t>Nuclear and mitochondrial DNA sequence diversity in the Antarctic nematode Scottnema lindsayae</t>
  </si>
  <si>
    <t>JOURNAL OF NEMATOLOGY</t>
  </si>
  <si>
    <t>Antarctic; ecology; extreme environment; genetic diversity; genetics; mitochondrial DNA; morphology; nematode; ribosomal RNA; Scottnema lindsayae; soil biodiversity; systematics; taxonomy</t>
  </si>
  <si>
    <t>CAENORHABDITIS-ELEGANS; EVOLUTION; SOILS; WIND</t>
  </si>
  <si>
    <t>A nematode, Scottnema lindsayae, is the dominant metazoan found in soils of the McMurdo Dry Valleys, Antarctica. The distribution of S. lindsayae is patchy within and between these dry valleys; nevertheless, it is unclear to what extent these populations are genetically isolated. We investigated genetic diversity in this nematode using nuclear and mitochondrial gene sequences that encode ribosomal RNA. In 169 nematodes surveyed, only one variable site was found in each of two different expansion segments of nuclear rRNA. While most nematodes have only one sequence type, some nematodes were found to contain a mixture of both sequences. No fixed differences in nuclear sequences were observed between populations. This pattern of nuclear variation is most consistent with a single species of nematode defined morphologically as S. lindsayae. For mitochondrial DNA sequences, we found 10 variable positions defining 12 haplotypes among 188 nematodes surveyed. While all observed haplotypes are closely related, significant differences in haplotype frequencies were observed between geographically defined populations. The nuclear and mitochondrial variation suggests populations of S. lindsayae represent a single polymorphic species with some restriction of gene now between geographic populations.</t>
  </si>
  <si>
    <t>Colorado State Univ, Nat Resource Ecol Lab, Ft Collins, CO 80523 USA; Dartmouth Coll, Environm Studies Program, Hanover, NH 03755 USA; Univ Missouri, Div Mol Biol &amp; Biochem, Kansas City, MO 64110 USA</t>
  </si>
  <si>
    <t>Colorado State University; Dartmouth College; University of Missouri System; University of Missouri Kansas City</t>
  </si>
  <si>
    <t>Courtright, EM (corresponding author), Colorado State Univ, Nat Resource Ecol Lab, Ft Collins, CO 80523 USA.</t>
  </si>
  <si>
    <t>SOC NEMATOLOGISTS</t>
  </si>
  <si>
    <t>LAKELAND</t>
  </si>
  <si>
    <t>3012 SKYVIEW DRIVE, LAKELAND, FL 33801-7072 USA</t>
  </si>
  <si>
    <t>0022-300X</t>
  </si>
  <si>
    <t>J NEMATOL</t>
  </si>
  <si>
    <t>J. Nematol.</t>
  </si>
  <si>
    <t>349RZ</t>
  </si>
  <si>
    <t>WOS:000089060500004</t>
  </si>
  <si>
    <t>Leat, PT; Livermore, RA; Millar, IL; Pearce, JA</t>
  </si>
  <si>
    <t>Magma supply in back-arc spreading centre segment e2, east Scotia Ridge</t>
  </si>
  <si>
    <t>geochemistry; petrology; volcanism; back-arc; subduction</t>
  </si>
  <si>
    <t>MID-ATLANTIC RIDGE; LAU BASIN; ISOTOPE GEOCHEMISTRY; VOLCANIC-ROCKS; LOWER CRUST; ISLAND-ARC; SEA-FLOOR; MANTLE; OCEAN; BASALTS</t>
  </si>
  <si>
    <t>Segment E2 is situated in the back-arc East Scotia Ridge. The segment is unusual in that it has an axial topographic high underlain by a seismically imaged melt lens. The axis of the segment, which is 70 km long, was sampled at similar to 2 km spacing. There is strong correlation between compositions and bathymetry, and there is no evidence that lateral flow of magmas along dykes within the segment was more than 25 km. Magmas are more evolved towards the summit, indicating that magma fractionation took place within the imaged melt lens. Na-8.0 is roughly constant at similar to 2.6, implying uniform degree of partial melting, except for some samples at the summit that have Na-8.0 = 2.2. Compositions closest to N-MORB occur at the segment tips, and LREE/HREE ratios increase toward the summit. None of the magmas were derived from depleted sub-arc mantle. Nevertheless, most compositions in the segment were modified by slab-derived components. The low-Na-8.0 samples have high Ba/Nb compared with the rest of the segment. Dredged lavas from the lateral flanks of the summit have the most extreme compositions, including ones derived from plume mantle, and are end-members for magma mixing processes that controlled compositions.</t>
  </si>
  <si>
    <t>British Antarctic Survey, Cambridge CB3 0ET, England; Univ Durham, Dept Geol Sci, Durham DH1 3LE, England; NERC, Isotope Geosci Lab, Kingsley Dunham Ctr, Nottingham NG12 5GG, England</t>
  </si>
  <si>
    <t>UK Research &amp; Innovation (UKRI); Natural Environment Research Council (NERC); NERC British Antarctic Survey; Durham University; UK Research &amp; Innovation (UKRI); Natural Environment Research Council (NERC); NERC British Geological Survey</t>
  </si>
  <si>
    <t>p.leat@bas.ac.uk</t>
  </si>
  <si>
    <t>Millar, Ian L/F-1541-2010; Livermore, Roy/M-1566-2019; Pearce, Julian A/C-5807-2009</t>
  </si>
  <si>
    <t>1460-2415</t>
  </si>
  <si>
    <t>10.1093/petrology/41.6.845</t>
  </si>
  <si>
    <t>321ZQ</t>
  </si>
  <si>
    <t>WOS:000087485600005</t>
  </si>
  <si>
    <t>Fauchot, J; Gosselin, M; Levasseur, M; Mostajir, B; Belzile, C; Demers, S; Roy, S; Villegas, PZ</t>
  </si>
  <si>
    <t>Influence of UV-B radiation on nitrogen utilization by a natural assemblage of phytoplankton</t>
  </si>
  <si>
    <t>ammonium uptake; mesocosm experiment; nitrate uptake; phytoplankton; urea uptake; UV-B radiation</t>
  </si>
  <si>
    <t>BIOLOGICAL WEIGHTING FUNCTION; SOLAR ULTRAVIOLET-RADIATION; ANTARCTIC OZONE DEPLETION; MARINE-PHYTOPLANKTON; INORGANIC NITROGEN; AMINO-ACIDS; N-15-AMMONIUM ASSIMILATION; HAPTOPHYCEAN PAVLOVA; STRATOSPHERIC OZONE; LAUDERIA-ANNULATA</t>
  </si>
  <si>
    <t>A 7-day mesocosm experiment was conducted in July 1996 to investigate the effects of ambient UV-B radiation (UVBR) exclusion and two UVBR enhancements above ambient levels on NO3-, NH4+ and urea utilization in a natural plankton community (&lt; 240 mu m) from the Lower St. Lawrence Estuary, The phytoplankton community was dominated by diatoms during the first 3 days and, afterward, by flagellates and dinoflagellates. The results of 4-h incubations just below the water surface show that, compared with ambient UVBR conditions, UVBR exclusion generally increased NO3-, NH4+, and urea uptakes, During the last 4 days of the experiment, the percent increase in the specific uptake rate of urea under excluded UVBR conditions varied between 17% and 130% and was a linear function of the ambient UVBR dose removed. During the first 3 days, the phytoplankton community dominated by diatoms was able to withstand UVBR enhancements without any perceptible effect on nitrogen uptake. However, during the post-diatom bloom period, UVBR enhancements resulted in decreases in NO3-, NH4+, and urea uptake compared with ambient UVBR conditions. The reduction of urea uptake under UVBR enhancements during the last 3 days varied between 23% and 64% and was linearly related to the enhanced UVBR dose. However, the different UVBR treatments did not affect the internal organic nitrogen composition (internal urea, free amino acids, and proteins) of the phytoplankton community experiencing vertical mixing in the mesocosms, The discrepancy between short-term uptake measurements at the surface and long-term effects iu the mesocosms emphasizes the importance of vertical mixing on UVBR effects in natural ecosystems. This suggests that an increase in ambient UVBR would have a minimal effect on nitrogen utilization by natural phytoplankton assemblages if these are vertically mixed.</t>
  </si>
  <si>
    <t>Minist Peches &amp; Oceans, Inst Maurice Lamontagne, Mt Joli, PQ G5H 3Z4, Canada; Univ Quebec, Inst Sci Mer, Rimouski, PQ G5L 3A1, Canada</t>
  </si>
  <si>
    <t>Fisheries &amp; Oceans Canada; University of Quebec</t>
  </si>
  <si>
    <t>Fauchot, J (corresponding author), Minist Peches &amp; Oceans, Inst Maurice Lamontagne, CP 1000, Mt Joli, PQ G5H 3Z4, Canada.</t>
  </si>
  <si>
    <t>Gosselin, Michel/B-4477-2014</t>
  </si>
  <si>
    <t>Gosselin, Michel/0000-0002-1044-0793; Belzile, Claude/0000-0003-3908-7433</t>
  </si>
  <si>
    <t>PHYCOLOGICAL SOC AMER INC</t>
  </si>
  <si>
    <t>810 EAST 10TH ST, LAWRENCE, KS 66044 USA</t>
  </si>
  <si>
    <t>10.1046/j.1529-8817.2000.99011.x</t>
  </si>
  <si>
    <t>329DD</t>
  </si>
  <si>
    <t>WOS:000087890100004</t>
  </si>
  <si>
    <t>Bindoff, NL; McDougall, TJ</t>
  </si>
  <si>
    <t>Decadal changes along an Indian ocean section at 32°S and their interpretation</t>
  </si>
  <si>
    <t>SOUTHWEST PACIFIC-OCEAN; ANTARCTIC INTERMEDIATE; HYDROGRAPHIC DATA; ATMOSPHERE MODEL; CIRCULATION; WATER; TEMPERATURE; VARIABILITY</t>
  </si>
  <si>
    <t>In the Indian Ocean subtropical gyre, historical temperature, salinity, and oxygen data with a median date of 1962 are compared with a hydrographic section taken at a mean latitude of 32 degrees S in October-November 1987. Significant basinwide changes in all three hydrographic fields are observed below the mixed layer. On isobaric surfaces the main changes are (i) a warming of the upper 900 dbar of the water column with a maximum change in the sectional mean of 0.5 degrees C, (ii) a freshening between 500 and 1500 dbar with a maximum freshening of 0.05 psu, and (iii) a pronounced decrease in oxygen concentration between 300 and 1000 dbar. Examination of water mass properties shows that very significant water mass changes have occurred. On isopycnals subantarctic mode water (SAMW) and Antarctic Intermediate Water (AAIW) have freshened and cooled. Both of these water masses are on average deeper in 1987. Using the analysis of Bindoff and McDougall (1994), the changes of temperature at constant depth and at constant density are used to show that the water mass changes can most simply be explained by a surface warming in the source region of SAMW and by increased precipitation in the source region of AAIW. The decrease in oxygen concentration can be explained simply by a slight slowing of the subtropical gyre allowing more time for biological consumption to decrease the oxygen concentration by water parcel translation from the formation area to the observation point. Estimates show that over the last 25 years there is an apparent decrease of the gyre spin rate of about 20% at the depth levels of SAMW; the estimated spin rate change decreases almost linearly with greater depth to zero at the oxygen minimum in Indian Deep Water (IDW). Below IDW the observed changes in oxygen concentration (and also the changes of temperature and salinity) are associated with the upward movement of isopycnals with no significant water mass change. The differences in temperature and salinity in the SAMW and AAIW are consistent with the relatively young age of these water masses inferred from CFC data.</t>
  </si>
  <si>
    <t>Univ Tasmania, Antarctic CRC, Hobart, Tas 7001, Australia; CSIRO, Div Marine Res, Hobart, Tas, Australia</t>
  </si>
  <si>
    <t>Univ Tasmania, Antarctic CRC, GPO 252-80, Hobart, Tas 7001, Australia.</t>
  </si>
  <si>
    <t>n.bindoff@utas.edu.au</t>
  </si>
  <si>
    <t>Bindoff, Nathaniel Lee/IVV-0333-2023; Bindoff, Nathaniel Lee/C-8050-2011; McDougall, Trevor J/A-6770-2013</t>
  </si>
  <si>
    <t>Bindoff, Nathaniel Lee/0000-0001-5662-9519; Bindoff, Nathaniel Lee/0000-0001-5662-9519;</t>
  </si>
  <si>
    <t>10.1175/1520-0485(2000)030&lt;1207:DCAAIO&gt;2.0.CO;2</t>
  </si>
  <si>
    <t>330KF</t>
  </si>
  <si>
    <t>WOS:000087960700005</t>
  </si>
  <si>
    <t>Tropical coupled rossby waves in the Pacific Ocean-atmosphere system</t>
  </si>
  <si>
    <t>ANTARCTIC CIRCUMPOLAR WAVE; SEA-SURFACE TEMPERATURE; CIRCULATION; MODEL; WIND</t>
  </si>
  <si>
    <t>Gridded fields of TOPEX/Poseidon sea level height (SLH) and National Centers for Environmental Prediction sea surface temperature (SST) and meridional surface wind (MSW) anomalies are constructed monthly on a 2 degrees grid over the pacific Ocean for nearly 6 years from 1993 to 1998. Time-longitude diagrams of monthly SLH, SST, and MSW anomalies from 10 degrees to 22 degrees lat yield significant peak spectral energy density in zonal wavenumber-frequency spectra for periods of 1-2 yr near the free Rossby wave dispersion curve. Subsequently, temporal and spatial filtering of these SLH, SST, and MSW anomalies finds them propagating westward over the interior tropical pacific Ocean in fixed phase with one another. Significant squared coherence exists between filtered SLH and SST (SST and MSW) anomalies over the entire latitude band, yielding significant phase differences ranging over 90 degrees +/- 45 degrees (-70 degrees +/- 45 degrees) at 10 degrees S and 14 degrees lat and ranging over 90 degrees +/- 45 degrees (0 degrees +/- 45 degrees) at 18 degrees and 22 degrees lat. Over the entire latitude domain warm SST anomalies are displaced westward of high SLH anomalies, consistent with anomalous poleward geostrophic heat advection associated with baroclinic Rossby waves. At 18 degrees and 22 degrees lat poleward MSW anomalies occur directly over warm SST anomalies as observed previously for extratropical coupled Rossby waves. On the other hand, at 10 degrees S and 14 degrees lat poleward MSW anomalies are displaced eastward of warm SST anomalies, consistent with Newtonian cooling balancing SST-induced midlevel diabatic heating in the tropical troposphere. The latter relationship allows an analytical model of tropical coupled Rossby waves to be constructed at 10 degrees and 14 degrees lat, different from that of extratropical Rossby waves at 18 degrees and 22 degrees lat and from that of free Rossby waves expected over the entire latitude domain. This tropical model yields coupled Rossby waves that propagate westward at slower phase speeds than expected of free Rossby waves, as observed. Maintenance (growth) of wave amplitude against dissipation occurs for tropical coupled Rossby waves that travel parallel to (poleward of) isotherms in the mean SST distribution, as observed.</t>
  </si>
  <si>
    <t>10.1175/1520-0485(2000)030&lt;1245:TCRWIT&gt;2.0.CO;2</t>
  </si>
  <si>
    <t>WOS:000087960700008</t>
  </si>
  <si>
    <t>Chen, J; Blume, HP</t>
  </si>
  <si>
    <t>Element enrichment and migration within some soils on Fildes Peninsula (King George Island), the maritime Antarctic</t>
  </si>
  <si>
    <t>JOURNAL OF PLANT NUTRITION AND SOIL SCIENCE</t>
  </si>
  <si>
    <t>soils; soil formation; element migration; element enrichment; maritime Antarctic</t>
  </si>
  <si>
    <t>PEDOGENIC ZONATION; REGION</t>
  </si>
  <si>
    <t>Three soil profiles (Dystri-gelic Cambisol, Fibri-gelic Histosol, Relic Ornithosol) sampled from Fildes Peninsula of King George Island, Antarctica, were involved in this study to quantitatively demonstrate the enrichment, migration, loss of the elements Si, Al, Fe, Ca, Mg, Mn, K, Na, and P in soil horizons and their behaviors within profiles by introduction and application of the enrichment coefficient (calculated in relation to the abundance of Ti). Additionally, six other soil horizon samples taken randomly from the study area were examined for calculation of the redistributing enrichment coefficient: These coefficients were applied here for a better understanding of the element redistribution between soil and clay fraction along with soil development. The results show that the enrichment, migration and redistribution of the elements vary strongly amongst the investigated soils and horizons, due to the differences of weathering degrees, moisture status, and influences of sea bird activities etc.</t>
  </si>
  <si>
    <t>Chinese Acad Sci, Inst Soil Sci, Nanjing 210008, Peoples R China; Univ Kiel, Inst Plant Nutr &amp; Soil Sci, D-24098 Kiel, Germany</t>
  </si>
  <si>
    <t>Chinese Academy of Sciences; Nanjing Institute of Soil Science, CAS; University of Kiel</t>
  </si>
  <si>
    <t>Chinese Acad Sci, Inst Soil Sci, Nanjing 210008, Peoples R China.</t>
  </si>
  <si>
    <t>jchen@issas.ac.ch</t>
  </si>
  <si>
    <t>WILEY-V C H VERLAG GMBH</t>
  </si>
  <si>
    <t>WEINHEIM</t>
  </si>
  <si>
    <t>POSTFACH 101161, 69451 WEINHEIM, GERMANY</t>
  </si>
  <si>
    <t>1436-8730</t>
  </si>
  <si>
    <t>1522-2624</t>
  </si>
  <si>
    <t>J PLANT NUTR SOIL SC</t>
  </si>
  <si>
    <t>J. Plant Nutr. Soil Sci.</t>
  </si>
  <si>
    <t>10.1002/1522-2624(200006)163:3&lt;291::AID-JPLN291&gt;3.0.CO;2-A</t>
  </si>
  <si>
    <t>Agronomy; Plant Sciences; Soil Science</t>
  </si>
  <si>
    <t>Agriculture; Plant Sciences</t>
  </si>
  <si>
    <t>328HC</t>
  </si>
  <si>
    <t>WOS:000087843600008</t>
  </si>
  <si>
    <t>Bingham, BL; Reitzel, AM</t>
  </si>
  <si>
    <t>Solar damage to the solitary ascidian, Corella inflata</t>
  </si>
  <si>
    <t>ANTARCTIC MARINE ORGANISMS; UV-B RADIATION; ULTRAVIOLET-RADIATION; VISIBLE-LIGHT; DNA-DAMAGE; INHIBITION; HUNTSMAN; SEAWATER; STRESS; GROWTH</t>
  </si>
  <si>
    <t>The ascidian Corella inflata (Chordata, Ascidiacea) is common in many areas of Puget Sound, Washington, USA. However, it occurs only in habitats where it is protected from direct sunlight. Previous experiments with artificial lights showed that UV irradiation kills all life stages of this animal. The effects of natural sunlight exposure (measuring survival of adults, juveniles, larvae, and embryos) were compared. We partitioned the light spectrum to separate the effects of UVB, UVA, and visible light (PAR). Natural sunlight severely damaged C. inflata. Adults and juveniles died after 2-5 d. Exposed embryos failed to develop normally and larvae did not settle. As expected, UVB had significant effects, but pronounced effects were also seen when the animals were exposed to longer wavelengths alone (UVA and PAR). Thus, the distribution of C. inflata may be determined largely by exposure to light. Understanding the basic ecology of this species requires consideration of its vulnerability to sunlight damage and the effects of UVB, UVA, and PAR.</t>
  </si>
  <si>
    <t>Western Washington Univ, Huxley Coll Environm Studies, Bellingham, WA 98225 USA; Univ Florida, Dept Zool, Gainesville, FL 32611 USA</t>
  </si>
  <si>
    <t>Western Washington University; State University System of Florida; University of Florida</t>
  </si>
  <si>
    <t>Western Washington Univ, Huxley Coll Environm Studies, Bellingham, WA 98225 USA.</t>
  </si>
  <si>
    <t>bingham@cc.wwu.edu</t>
  </si>
  <si>
    <t>Reitzel, Adam M/A-9129-2017</t>
  </si>
  <si>
    <t>1469-7769</t>
  </si>
  <si>
    <t>10.1017/S0025315400002216</t>
  </si>
  <si>
    <t>338WN</t>
  </si>
  <si>
    <t>WOS:000088446400014</t>
  </si>
  <si>
    <t>Nash, GD</t>
  </si>
  <si>
    <t>The endurance: Shackleton's legendary Antarctic expedition</t>
  </si>
  <si>
    <t>JOURNAL OF THE WEST</t>
  </si>
  <si>
    <t>Univ New Mexico, Albuquerque, NM 87131 USA</t>
  </si>
  <si>
    <t>University of New Mexico</t>
  </si>
  <si>
    <t>Nash, GD (corresponding author), Univ New Mexico, Albuquerque, NM 87131 USA.</t>
  </si>
  <si>
    <t>J WEST INC</t>
  </si>
  <si>
    <t>MANHATTAN</t>
  </si>
  <si>
    <t>P O BOX 1009, MANHATTAN, KS 66505-1009 USA</t>
  </si>
  <si>
    <t>0022-5169</t>
  </si>
  <si>
    <t>J WEST</t>
  </si>
  <si>
    <t>J. West</t>
  </si>
  <si>
    <t>346JT</t>
  </si>
  <si>
    <t>WOS:000088867900042</t>
  </si>
  <si>
    <t>Atkinson, A; Whitehouse, MJ</t>
  </si>
  <si>
    <t>Ammonium excretion by Antarctic krill Euphausia superba at South Georgia (vol 45, pg 55, 2000)</t>
  </si>
  <si>
    <t>Atkinson, Angus/HOH-3417-2023; Whitehouse, Martin J/E-1425-2013</t>
  </si>
  <si>
    <t>323GZ</t>
  </si>
  <si>
    <t>WOS:000087558900027</t>
  </si>
  <si>
    <t>Delille, D; Delille, B</t>
  </si>
  <si>
    <t>Field observations on the variability of crude oil impact on indigenous hydrocarbon-degrading bacteria from sub-Antarctic intertidal sediments</t>
  </si>
  <si>
    <t>MARINE ENVIRONMENTAL RESEARCH</t>
  </si>
  <si>
    <t>Antarctica; oil contamination; hydrocarbonoclastic bacteria; biodegradation; intertidal zone</t>
  </si>
  <si>
    <t>EXXON-VALDEZ-OIL; PRINCE-WILLIAM-SOUND; MICROBIAL-DEGRADATION; DIESEL FUEL; ENVIRONMENTAL ASPECTS; SALT-MARSH; BIOREMEDIATION; MARINE; SPILL; POPULATIONS</t>
  </si>
  <si>
    <t>Oil pollution of the oceans has been a problem ever since man began to use fossil fuels. Biodegradation by naturally occurring populations of micro-organisms is a major mechanism for the removal of petroleum from the environment. To examine the effects of crude oil pollution on intertidal bacteria, we repeated the same contamination experiments on nine different sub-Antarctic intertidal beaches using specifically built enclosures (PVC pipe, 15 cm in inner diameter and 30 cm in height). Despite the pristine environmental conditions, significant numbers of indigenous hydrocarbon-degrading bacteria were observed in all the studied beaches. Introduction of oil into these previously oil-free environments resulted in several orders of magnitude of increase in hydrocarbon-degrading micro-organisms within a few days in some of the studied sites but has no obvious effects on two others. The physical environment of the bacterial assemblage seems to play a major role in the biodegradation capacities. After 3 months of contamination, both remaining oil concentrations and biodegradation indexes differ strongly between the different stations. Thus, chemical and biological parameters reveal a strong heterogeneity of biodegradation capacities between the different sites. (C) 2000 Elsevier Science Ltd. All rights reserved.</t>
  </si>
  <si>
    <t>Univ Paris 06, Observ Oceanol Banyuls, UA 117, Lab Arago, F-66650 Banyuls sur Mer, France; Univ Liege, Inst Phys, Unite Oceanog Chim Mecan Fluides Geophys, B-4000 Sart Tilman, Belgium</t>
  </si>
  <si>
    <t>Sorbonne Universite; University of Liege</t>
  </si>
  <si>
    <t>Delille, D (corresponding author), Univ Paris 06, Observ Oceanol Banyuls, UA 117, Lab Arago, F-66650 Banyuls sur Mer, France.</t>
  </si>
  <si>
    <t>Daniel, Delille/S-9542-2019; Delille, Bruno/C-3486-2008</t>
  </si>
  <si>
    <t>Delille, Bruno/0000-0003-0502-8101</t>
  </si>
  <si>
    <t>0141-1136</t>
  </si>
  <si>
    <t>MAR ENVIRON RES</t>
  </si>
  <si>
    <t>Mar. Environ. Res.</t>
  </si>
  <si>
    <t>10.1016/S0141-1136(99)00080-X</t>
  </si>
  <si>
    <t>Environmental Sciences; Marine &amp; Freshwater Biology; Toxicology</t>
  </si>
  <si>
    <t>Environmental Sciences &amp; Ecology; Marine &amp; Freshwater Biology; Toxicology</t>
  </si>
  <si>
    <t>315CH</t>
  </si>
  <si>
    <t>WOS:000087094700001</t>
  </si>
  <si>
    <t>Franco, M; Bagagli, E; Scapolio, S; Lacaz, CD</t>
  </si>
  <si>
    <t>A critical analysis of isolation of Paracoccidioides brasiliensis from soil</t>
  </si>
  <si>
    <t>MEDICAL MYCOLOGY</t>
  </si>
  <si>
    <t>ecology; Paracoccidioides brasiliensis; paracoccidioidomycosis; soil</t>
  </si>
  <si>
    <t>BRAZIL; STRAIN</t>
  </si>
  <si>
    <t>The present review is a critical analysis of positive and negative reports of the isolation of Paracoccidioides brasiliensis from soil. The strains isolated from soil or soil-contaminated material (dogfood, penguin feces) by Batista et al. in Recife, Brazil, Negroni in the Argentinian Chaco, Albornoz in rural Venezuela, Silva-Vergara et al, in Ibia, Brazil, Ferreira et al, in Uberlandia, Brazil, and Gezuele et al. at the Uruguayan base in the Antarctic region, presented mycological characteristics consistent with P. brasiliensis. In most of these studies, morphological characterization was complemented with an evaluation of virulence and antigenicity, and biochemical or molecular analysis. These isolations, therefore, can be considered true, supporting the concept of soil as an important element in the ecology of the pathogen. The large number of negative reports in attempts involving soil samples and the low repeatability of isolation of the fungus from the same area indicate that the specific conditions supporting growth of the pathogen in soil have not been fully clarified.</t>
  </si>
  <si>
    <t>Univ Fed Sao Paulo, Escola Paulista Med, Dept Pathol, Sao Paulo, Brazil; UNESP, Inst Biociencias, Dept Microbiol &amp; Immunol, Botucatu, SP, Brazil; UNESP, Fac Med, Dept Pathol, Botucatu, SP, Brazil; Inst Med Trop Sao Paulo, Sao Paulo, Brazil</t>
  </si>
  <si>
    <t>Universidade Federal de Sao Paulo (UNIFESP); Universidade Estadual Paulista; Universidade Estadual Paulista; Universidade de Sao Paulo</t>
  </si>
  <si>
    <t>Univ Fed Sao Paulo, Escola Paulista Med, Dept Pathol, Rua Botucatu,740 Vila Clementino, Sao Paulo, Brazil.</t>
  </si>
  <si>
    <t>mfranco@patologia.epm.br</t>
  </si>
  <si>
    <t>Bagagli, Eduardo/ITV-6670-2023; Bagagli, Eduardo/C-8036-2012</t>
  </si>
  <si>
    <t>Bagagli, Eduardo/0000-0002-8003-4109; Bagagli, Eduardo/0000-0002-8003-4109</t>
  </si>
  <si>
    <t>1369-3786</t>
  </si>
  <si>
    <t>1460-2709</t>
  </si>
  <si>
    <t>MED MYCOL</t>
  </si>
  <si>
    <t>Med. Mycol.</t>
  </si>
  <si>
    <t>10.1080/714030941</t>
  </si>
  <si>
    <t>Infectious Diseases; Mycology; Veterinary Sciences</t>
  </si>
  <si>
    <t>329PV</t>
  </si>
  <si>
    <t>WOS:000087916900001</t>
  </si>
  <si>
    <t>Sikes, EL; Samson, CR; Guilderson, TP; Howard, WR</t>
  </si>
  <si>
    <t>Old radiocarbon ages in the southwest Pacific Ocean during the last glacial period and deglaciation</t>
  </si>
  <si>
    <t>DEEP-WATER; SOUTHERN-OCEAN; YOUNGER DRYAS; NEW-ZEALAND; CIRCULATION; CLIMATE; RECORDS; TEPHRA; EVENT</t>
  </si>
  <si>
    <t>Marine radiocarbon (C-14) dates are widely used for dating oceanic events and as tracers of ocean circulation, essential components for understanding ocean-climate interactions. Past ocean ventilation rates have been determined by the difference between radiocarbon ages of deep-water and surface-water reservoirs, but the apparent age of surface waters (currently similar to 400 years in the tropics and similar to 1,200 years in Antarctic waters(1)) might not be constant through time(2), as has been assumed in radiocarbon chronologies(3,4) and palaeoclimate studies(5). Here we present independent estimates of surface-water and deep-water reservoir ages in the New Zealand region since the last glacial period, using volcanic ejecta (tephras) deposited in both marine and terrestrial sediments as stratigraphic markers. Compared to present-day values, surface-reservoir ages from 11,900 C-14 years ago were twice as large (800 years) and during glacial times were five times as large (2,000 years), contradicting the assumption of constant surface age. Furthermore, the ages of glacial deepwater reservoirs were much older (3,000-5,000 years). The increase in surface-to-deep water age differences in the glacial Southern Ocean suggests that there was decreased ocean ventilation during this period.</t>
  </si>
  <si>
    <t>Univ Auckland, Sch Environm &amp; Marine Sci, Auckland 1, New Zealand; Univ Auckland, Dept Geol, Auckland 1, New Zealand; Antarctic Cooperat Res Ctr, Hobart, Tas, Australia; Univ Tasmania, Inst Antarctic &amp; So Ocean Studies, Hobart, Tas 7001, Australia; Lawrence Livermore Natl Lab, Ctr Accelerator Mass Spectrometry, Livermore, CA 94551 USA; Harvard Univ, Dept Earth &amp; Planetary Sci, Cambridge, MA 02138 USA</t>
  </si>
  <si>
    <t>University of Auckland; University of Auckland; University of Tasmania; United States Department of Energy (DOE); Lawrence Livermore National Laboratory; Harvard University</t>
  </si>
  <si>
    <t>Univ Auckland, Sch Environm &amp; Marine Sci, Private Bag 92019, Auckland 1, New Zealand.</t>
  </si>
  <si>
    <t>e.sikes@auckland.ac.nz</t>
  </si>
  <si>
    <t>Guilderson, Thomas/0000-0001-9371-7059; Sikes, Elisabeth/0000-0003-2900-3283</t>
  </si>
  <si>
    <t>10.1038/35014581</t>
  </si>
  <si>
    <t>321HF</t>
  </si>
  <si>
    <t>WOS:000087449500046</t>
  </si>
  <si>
    <t>Buchanan, PK; Ryvarden, L</t>
  </si>
  <si>
    <t>An annotated checklist of polypore and polypore-like fungi recorded from New Zealand</t>
  </si>
  <si>
    <t>NEW ZEALAND JOURNAL OF BOTANY</t>
  </si>
  <si>
    <t>polypore fungi; new records; New Zealand; checklist; index; bibliography</t>
  </si>
  <si>
    <t>ANTARCTIC PIPTOPORUS POLYPORACEAE; RESUPINATE POLYPORES; APHYLLOPHORALES; ISLANDS; AUSTRALASIA; ARGENTINA; FORESTS</t>
  </si>
  <si>
    <t>A brief history of taxonomic research on New Zealand polypore fungi is given, followed by a checklist of published New Zealand records of these fungi. In total, 169 poroid taxa are accepted, of which 48 have currently misapplied or uncertain names. A further 359 names used for New Zealand polypore fungi are cited as synonyms, and 33 names are treated as doubtful records. Twelve species are newly recorded from New Zealand: Anomoporia myceliosa, Australohydnum dregeanum, Ceriporiopsis rivulosa var. valdiviana, Coriolopsis strumosa, Junghuhnia separabilima, Phaeolus schweinitzii sens. str., Postia fragilis, Postia tephroleuca, Rigidoporus albostygius, Trechispora regularis, Tyromyces fissilis and T. hypolateritius. The new combination Postia manuka is proposed. All names are indexed by epithet, followed by a bibliography.</t>
  </si>
  <si>
    <t>Landcare Res, Auckland, New Zealand; Univ Oslo, Dept Biol, N-0316 Oslo, Norway</t>
  </si>
  <si>
    <t>Landcare Research - New Zealand; University of Oslo</t>
  </si>
  <si>
    <t>Landcare Res, Private Bag 92170, Auckland, New Zealand.</t>
  </si>
  <si>
    <t>buchananp@landcare.cri.nz</t>
  </si>
  <si>
    <t>Buchanan, Peter/0000-0001-5309-6438</t>
  </si>
  <si>
    <t>0028-825X</t>
  </si>
  <si>
    <t>1175-8643</t>
  </si>
  <si>
    <t>NEW ZEAL J BOT</t>
  </si>
  <si>
    <t>N. Z. J. Bot.</t>
  </si>
  <si>
    <t>337QQ</t>
  </si>
  <si>
    <t>WOS:000088373500009</t>
  </si>
  <si>
    <t>Jonkers, HA</t>
  </si>
  <si>
    <t>Gastropod predation patterns in Pliocene and recent pectinid bivalves from Antarctica and New Zealand</t>
  </si>
  <si>
    <t>Antarctica; New Zealand; gastropod predation; Pectinidae; Muricidae</t>
  </si>
  <si>
    <t>SCALLOP ADAMUSSIUM-COLBECKI; COCKBURN ISLAND FORMATION; SHELL BORING PREDATION; LATERNULA-ELLIPTICA; NATICID GASTROPODS; MCMURDO SOUND; PENINSULA; LAMARCK; ECOLOGY; PREY</t>
  </si>
  <si>
    <t>Boreholes in the large, extinct Antarctic Neogene pectinid Zygochlamys anderssoni suggest that this scallop was preyed upon by a large predatory muricid gastropod ((possibly a Trophon species). The holes occur in mature individuals, which contrasts with the situation in modern Zygochlamys delicatula from New Zealand, where gastropod predation is apparently restricted to juveniles only. This difference is ascribed to dissimilarities in the lifestyles of these scallops; whereas the former was probably byssally attached throughout ontogeny, adults of the latter become free living after an initial period of byssal attachment. During the late Pliocene, a change towards higher motility in Chlamys-like pectinids of the Southern Ocean may have caused the loss of an important food source for the larger muricids.</t>
  </si>
  <si>
    <t>Jonkers, HA (corresponding author), British Antarctic Survey, NERC, High Cross,Madingley Rd, Cambridge CB3 0ET, England.</t>
  </si>
  <si>
    <t>10.1080/00288306.2000.9514884</t>
  </si>
  <si>
    <t>337UH</t>
  </si>
  <si>
    <t>WOS:000088379700009</t>
  </si>
  <si>
    <t>Splettstoesser, JF; Gavrilo, M; Field, C; Field, C; Harrison, P; Messick, M; Oxford, P; Todd, FS</t>
  </si>
  <si>
    <t>Notes on Antarctic wildlife:: Ross seals Ommatophoca rossii and emperor penguins Aptenodytes forsteri</t>
  </si>
  <si>
    <t>NEW ZEALAND JOURNAL OF ZOOLOGY</t>
  </si>
  <si>
    <t>Ross seal Ommatophoca rossii; emperor penguin Aptenodytes forsteri; Antarctica; sea-ice habitats</t>
  </si>
  <si>
    <t>COAST</t>
  </si>
  <si>
    <t>Systematic observations on birds and mammals were carried out in the 1996/97 austral summer in Antarctica while on a circumnavigation of the entire continent by the Russian icebreaker Kapitan Khlebnikov. A total of 22 Ross seals Ommatophoca rossii were recorded during the period 9 December 1996-16 January 1997 of that 65 day cruise, with 75% of them found in light to heavy pack ice conditions. The highest abundance was in the Riiser-Larsen Sea(between 14 degrees E and 35 degrees E longitude). Half of the seals were observed over the shelf zone, while others were over continental slope to deep ocean. Discussion of all sea-ice habitats from all sightings of Ross seals from the 1996/97 summer is presented here, along with opportunistic sightings of Ross seals from the same icebreaker in December 1992-January 1993 and in 1997/98 along the coastline from about 57 degrees E to 100 degrees E. An unusually large concentration of Ross seals was observed during an 8 h period near Gaussberg (66 degrees 13'S, 89 degrees 35'E) on 7 January 1993, when a minimum of 40 Ross seals were counted. A search for an emperor penguin Aptenodytes forsteri colony was made in November - December 1997 in the area of the West Ice Shelf, where a colony at Pingvin Island was discovered in 1956 and last seen in 1960. The original population of 30 000 birds was not found, but a smaller subcolony of about 200 breeding pairs (estimated) was found, perhaps a remnant of the original colony which was forced to re-locate because of a major breakup of West Ice Shelf in 1968.</t>
  </si>
  <si>
    <t>Arctic &amp; Antarctic Res Inst, St Petersburg, Russia; Ecocepts Int, San Diego, CA 92123 USA</t>
  </si>
  <si>
    <t>Splettstoesser, JF (corresponding author), 21 Rockledge Rd,POB 88, Spruce Head, ME 04859 USA.</t>
  </si>
  <si>
    <t>Gavrilo, Maria V/R-7091-2016</t>
  </si>
  <si>
    <t>Gavrilo, Maria V/0000-0002-3500-9617</t>
  </si>
  <si>
    <t>0301-4223</t>
  </si>
  <si>
    <t>NEW ZEAL J ZOOL</t>
  </si>
  <si>
    <t>N. Z. J. Zool.</t>
  </si>
  <si>
    <t>10.1080/03014223.2000.9518219</t>
  </si>
  <si>
    <t>338EG</t>
  </si>
  <si>
    <t>WOS:000088404700007</t>
  </si>
  <si>
    <t>Haque, R; Espy, PJ</t>
  </si>
  <si>
    <t>Extraction of planetary wave information from signals collected by a Bomem interferometer</t>
  </si>
  <si>
    <t>OPTICAL ENGINEERING</t>
  </si>
  <si>
    <t>interferometry; planetary waves; Bomem interferometer</t>
  </si>
  <si>
    <t>MIDDLE ATMOSPHERE; SPECTRAL-ANALYSIS; TIME-SERIES; 2-DAY WAVE; MESOSPHERE; OSCILLATIONS; THERMOSPHERE; TEMPERATURES; MESOPAUSE; REGION</t>
  </si>
  <si>
    <t>We present a methodology adopted to extract planetary wave information from a set of interferometric data. The data set represent information collected by a Bomem interferometer from 1993 until 1995 in Stockholm, Sweden. We also discuss several procedures other than that adopted for the analysis of this unevenly spaced data and provide the rationale for the adopted procedure. New results on planetary waves are presented. A robust analytical procedure for analyzing gappy data containing information within a known band is also presented. The procedure, consisting of a periodogram method followed by the application of a moving average filter with a correction function, would be used on future data. (C) 2000 Society of Photo-Optical instrumentation Engineers.</t>
  </si>
  <si>
    <t>Intel Corp, Folsom, CA 95630 USA; British Antarctic Survey, Cambridge, England</t>
  </si>
  <si>
    <t>Intel Corporation; UK Research &amp; Innovation (UKRI); Natural Environment Research Council (NERC); NERC British Antarctic Survey</t>
  </si>
  <si>
    <t>Haque, R (corresponding author), Intel Corp, Folsom, CA 95630 USA.</t>
  </si>
  <si>
    <t>SPIE-INT SOCIETY OPTICAL ENGINEERING</t>
  </si>
  <si>
    <t>1000 20TH ST, BELLINGHAM, WA 98225 USA</t>
  </si>
  <si>
    <t>0091-3286</t>
  </si>
  <si>
    <t>OPT ENG</t>
  </si>
  <si>
    <t>Opt. Eng.</t>
  </si>
  <si>
    <t>10.1117/1.602525</t>
  </si>
  <si>
    <t>Optics</t>
  </si>
  <si>
    <t>322TY</t>
  </si>
  <si>
    <t>WOS:000087526000013</t>
  </si>
  <si>
    <t>Whitehouse, MJ; Priddle, J; Brandon, MA</t>
  </si>
  <si>
    <t>Chlorophyll/nutrient characteristics in the water masses to the north of South Georgia, Southern Ocean</t>
  </si>
  <si>
    <t>ANTARCTIC CIRCUMPOLAR CURRENT; POLAR FRONT; DRAKE PASSAGE; SCOTIA SEA; BRANSFIELD STRAIT; SUMMER 1994; PHYTOPLANKTON; ATLANTIC; DYNAMICS; NUTRIENT</t>
  </si>
  <si>
    <t>Chlorophyll a and nutrient concentrations along with temperature and salinity values were measured at 22 CTD stations along a 735-km transect running to the northwest of the island of South Georgia, Southern Ocean. Measurements were repeated during five summer surveys (January and February 1994, January 1996, December 1996, January 1998) and one spring survey (October 1997). The transect sampled Sub-Antarctic Zone water in the north, Polar Frontal Zone water and Antarctic Zone water in the south. Chlorophyll a concentrations were lowest to the north of the transect and frequently high (up to 17 mg m(-3)) in the deep open ocean of the Antarctic Zone. Sub-surface peaks were measured in all zones and chlorophyll a was detectable to a depth of 150 m. There was a clear latitudinal temperature gradient in the near-surface waters (0-50 m), the warmest water occurring in the north (similar to 12 degrees C), and the coolest in the Antarctic Zone (similar to 2 degrees C). There was also a well-defined latitudinal gradient in summer near-surface silicate concentrations (similar to 2, 4, and 10 mmol m(-3) in the Sub-Antarctic Zone, the Polar Frontal Zone and the Antarctic Zone, respectively), increasing to &gt; 20 mmol m(-3) near South Georgia. Distinct differences in silicate concentrations were also evident in all three zones to a depth of 500 m. Nearsurface nitrate and phosphate concentrations were relatively low to the north of the transect (similar to 14 and 1 mmol m(-3), respectively) and higher in the Polar Frontal Zone and Antarctic Zone (similar to 18 and 1.4 mmol m(-3), respectively). Ammonium and nitrite were restricted to the upper 200 m of the water column, and exhibited sub-surface concentration peaks, the lowest being in the Sub-Antarctic Zone (0.68 and 0.25 mmol m(-3), respectively) and the highest in the Antarctic Zone (1.72 and 0.29 mmol m(-3), respectively). Surface (similar to 6 m) spring nutrient measurements provided an indication of pre-bloom conditions; ammonium and nitrite concentrations were low (similar to 0.27 and 0.28 mmol m(-3), respectively), while silicate, nitrate and phosphate concentrations were high and similar to previously measured winter values (e.g. similar to 26, 23, 2 mmol m(-3), respectively in the Antarctic Zone). Although the values measured were very variable, and there was some evidence of a seasonal growth progression, the chlorophyll a and nutrient distribution patterns were dominated by intercruise (interannual) factors. Approximate nutrient depletions (spring minus summer) appeared similar in the Polar Frontal Zone and Antarctic Zone for nitrate and phosphate, while silicate showed a marked latitudinal increase from north to south throughout the transect. Highest chlorophyll a concentrations coincided with the highest apparent silicate depletions over the deep ocean of the Antarctic Zone. In this area, relatively warm, easterly flowing Antarctic Circumpolar Current water meets cooler, westerly flowing water that is influenced by the Weddell-Scotia Confluence and is rich in nutrients, especially silicate.</t>
  </si>
  <si>
    <t>Whitehouse, MJ (corresponding author), British Antarctic Survey, High Cross,Madingley Rd, Cambridge CB3 0ET, England.</t>
  </si>
  <si>
    <t>Whitehouse, Martin J/E-1425-2013; Brandon, Mark A/A-5804-2010</t>
  </si>
  <si>
    <t>10.1007/s003000050458</t>
  </si>
  <si>
    <t>323UK</t>
  </si>
  <si>
    <t>WOS:000087583200001</t>
  </si>
  <si>
    <t>Santovito, G; Irato, P; Piccinni, E; Albergoni, V</t>
  </si>
  <si>
    <t>Relationship between metallothionein and metal contents in red-blooded and white-blooded Antarctic teleosts</t>
  </si>
  <si>
    <t>POLYACRYLAMIDE GELS; MARINE ORGANISMS; HEAVY-METALS; CADMIUM; ZINC; ACCUMULATION; CRUSTACEANS; PROTEINS; LIVER</t>
  </si>
  <si>
    <t>Metal bioaccumulation and metallothionein were investigated in different organs of the red-blooded teleost, Trematomus bernacchii and the haemoglobinless Chionodraco hamatus. Specimens of the two Antarctic fish were sampled from Terra Nova Bay (Ross Sea), and their levels of Cd, Cu and Zn in homogenates and in soluble fractions of liver, muscle, gills, heart and plasma were determined. Dosages of metallothioneins (MTs) or MT-like proteins were assayed by the silver saturation method in soluble fractions of the same organs. In both T. bernacchii and C. hamatus the highest MT contents were found in liver. Hepatic MT and Cd, Cu and Zn concentrations correlated positively in T. bernacchii, whereas in C. hamatus hepatic MT showed a positive correlation only with Cd. Positive correlations were also found between Cd and MT in gills of the two species. A metal-binding protein containing a high percentage of cysteine from C. hamatus was purified and compared with the MT from T. bernacchii and mammals.</t>
  </si>
  <si>
    <t>Univ Padua, Dept Biol, I-35121 Padua, Italy</t>
  </si>
  <si>
    <t>University of Padua</t>
  </si>
  <si>
    <t>Univ Padua, Dept Biol, Via U Bassi 58-B, I-35121 Padua, Italy.</t>
  </si>
  <si>
    <t>vito@civ.bio.unipd.it</t>
  </si>
  <si>
    <t>Santovito, Gianfranco/ABB-9484-2021</t>
  </si>
  <si>
    <t>Santovito, Gianfranco/0000-0001-8260-7006</t>
  </si>
  <si>
    <t>10.1007/s003000050459</t>
  </si>
  <si>
    <t>WOS:000087583200002</t>
  </si>
  <si>
    <t>Pakhomov, EA; Froneman, PW</t>
  </si>
  <si>
    <t>Composition and spatial variability of macroplankton and micronekton within the Antarctic Polar Frontal Zone of the Indian Ocean during austral autumn 1997</t>
  </si>
  <si>
    <t>PRINCE-EDWARD-ISLANDS; TRACKED KING PENGUINS; SOUTHERN-OCEAN; CIRCUMPOLAR CURRENT; CROZET ARCHIPELAGO; DRAKE PASSAGE; SEA; ZOOPLANKTON; MACROZOOPLANKTON; COMMUNITIES</t>
  </si>
  <si>
    <t>Net sampling and continuous acoustic measurements within the Antarctic Polar Frontal Zone (APFZ) and in the vicinity of the Prince Edward Islands were conducted during austral autumn (April/May) 1997 to describe the composition and distribution of macrozooplankton and micronekton, and to investigate their relations to the prevailing oceanographic regime in the area. Two major circulation patterns associated with the Subantarctic (SAF) and Antarctic Polar (APF) Fronts existed in the oceanic environment surrounding the Prince Edward Islands. promoting high cross-frontal mixing both upstream and downstream of the islands. Average abundance and biomass of macroplankton/micronekton in the top 300-m layer were 21 ind. 1000 m(-3) and 467 mg DW 1000 m(-3), respectively. Pelagic crustaceans (euphausiids and amphipods), fish. chaetognaths and gelatinous zooplankton dominated numerically and by biomass. Continuous acoustic measurements displayed elevated pelagic biomass at the SAF and APF. Although four groupings of stations were identified using cluster analysis, a single macroplankton/micronekton community was recognized in the top 300-m layer throughout the offshore area of the APFZ. A modification of the APFZ community was observed within the inter-island region. Subantarctic species dominated zooplankton samples throughout the APFZ, although subtropical species were also well represented at stations occupied in the northern region of the APFZ. A biological response reflected in macroplankton community composition, resulting from an extensive cross-frontal mixing, was observed within the APFZ around the Prince Edward Islands.</t>
  </si>
  <si>
    <t>Froneman, William/GLS-0460-2022; Froneman, William/C-9085-2012</t>
  </si>
  <si>
    <t>Froneman, William/0000-0003-0615-1355;</t>
  </si>
  <si>
    <t>10.1007/s003000050462</t>
  </si>
  <si>
    <t>WOS:000087583200005</t>
  </si>
  <si>
    <t>Peck, LS; Colman, JG; Murray, AWA</t>
  </si>
  <si>
    <t>Growth and tissue mass cycles in the infaunal bivalve Yoldia eightsi at Signy Island, Antarctica</t>
  </si>
  <si>
    <t>BRACHIOPOD LIOTHYRELLA UVA; MACOMA-BALTHICA L; LATERNULA-ELLIPTICA; FOOD AVAILABILITY; POPULATION-STRUCTURE; LARVAL DEVELOPMENT; MYTILUS-EDULIS; SEASONAL CYCLE; SOFT-TISSUE; SHELL</t>
  </si>
  <si>
    <t>Shell growth in Yoldia eightsi was measured over an austral summer and winter in 1992. In specimens &lt;12 mm length, growth was not significantly different between summer and winter periods, and the fastest recorded rate, 6.3 mu m day(-1) was for 5-mm individuals during the winter. In summer, specimens of all lengths grew significantly, but in winter bivalves &gt;27 mm length did not increase in length. Tissue dry and ash-free dry mass (AFDM) cycles were assessed at monthly intervals between December 1988 and January 1991. ANCOVA indicated significant interannual and seasonal effects on this cycle. Tissue mass increased in the summer, coinciding with the phytoplankton bloom and the period of maximum sedimentation of organic material from the water column. A standard 20-mm-length animal reached a maximum AFDM of 114 mg in February 1990. The minimum value (68 mg AFDM) throughout the 2 years of measurements was in early December 1988, at the end of the austral winter. Periods of tissue mass increase were, therefore, decoupled from shell growth, at least in juveniles. Tissue mass was significantly higher in 1990 than 1989, which was mainly due to high organic contents in the summer (January to May). This was not consistent with the pattern of organic content in the sediments at the study site, but was in phase with the cycle in sediment chlorophyll a content. Tissue mass increase depended on major resource input during the summer, but Y. eightsi was capable of maintaining winter condition from stocks of benthic microalgae in years of poor ice cover. Tissue mass declined between April and July each year. This was accompanied by large fails in tissue ash content, and coincided with the spawning period in early June. These are the first monthly tissue mass data collected over a 2-year period for an Antarctic mollusc. They are the first such data indicating seasonal variation in tissue mass and showing a decoupling of shell and tissue growth in a polar bivalve. The P/B ratio calculated from these data was 0.106, which is slightly lower than previous values found for this species, but is in line with general values for Antarctic marine benthos.</t>
  </si>
  <si>
    <t>l.peck@bas.ac.uk</t>
  </si>
  <si>
    <t>10.1007/s003000050463</t>
  </si>
  <si>
    <t>WOS:000087583200006</t>
  </si>
  <si>
    <t>Cerrano, C; Arillo, A; Bavestrello, G; Calcinai, B; Cattaneo-Vietti, R; Penna, A; Sarà, M; Totti, C</t>
  </si>
  <si>
    <t>Diatom invasion in the antarctic hexactinellid sponge Scolymastra joubini</t>
  </si>
  <si>
    <t>CHONDROSIA-RENIFORMIS PORIFERA; WEDDELL SEA; ASSOCIATIONS; DEMOSPONGIAE; EGGS</t>
  </si>
  <si>
    <t>Sponges often host large amounts of symbionts, mainly represented by cyanobacteria and dinoflagellates. Recent findings show a widespread presence of symbiotic diatoms living inside antarctic demosponges. In this paper, the invasion by large populations of the diatom Melosira sp. into specimens of the hexactinellid sponge Scolymastra joubini is reported. SEM analyses support the hypothesis that the embedded living diatoms have a negative impact on sponge tissues, leading to degenerative processes.</t>
  </si>
  <si>
    <t>Univ Genoa, Dipartimento Studio Territorio &amp; Risorse, I-16132 Genoa, Italy; Univ Ancona, Ist Sci Mare, I-60181 Ancona, Italy; Univ Urbino, Ist Biochim, I-60118 Urbino, Italy</t>
  </si>
  <si>
    <t>University of Genoa; Marche Polytechnic University; University of Urbino</t>
  </si>
  <si>
    <t>Cerrano, C (corresponding author), Univ Genoa, Dipartimento Studio Territorio &amp; Risorse, C-30 Europa,26, I-16132 Genoa, Italy.</t>
  </si>
  <si>
    <t>Cerrano, Carlo/AAF-3557-2019; Bavestrello, Giorgio/JXN-5230-2024; TOTTI, Cecilia Maria/A-9178-2016</t>
  </si>
  <si>
    <t>Cerrano, Carlo/0000-0001-9580-5546; TOTTI, Cecilia Maria/0000-0002-1532-6009</t>
  </si>
  <si>
    <t>10.1007/s003000050466</t>
  </si>
  <si>
    <t>WOS:000087583200009</t>
  </si>
  <si>
    <t>Usui, A; Obinata, I; Ishizuka, Y; Okado, T; Fukuzawa, H; Kanba, S</t>
  </si>
  <si>
    <t>Seasonal changes in human sleep-wake rhythm in Antarctica and Japan</t>
  </si>
  <si>
    <t>PSYCHIATRY AND CLINICAL NEUROSCIENCES</t>
  </si>
  <si>
    <t>24th Annual Meeting of the Japanese-Society-of-Sleep-Research (JSSR)</t>
  </si>
  <si>
    <t>JUN 12-13, 1999</t>
  </si>
  <si>
    <t>HIROSHIMA, JAPAN</t>
  </si>
  <si>
    <t>Antarctica; circadian rhythm; light; seasonal variation; sleep-wake rhythm</t>
  </si>
  <si>
    <t>The subjects were eight men of the Japanese Antarctic Research Expedition (average age 35.8 years), and 10 healthy people living around Kofu, Japan (28.9 years). They completed a sleep log for 12 to 18 months, and the sleep-wake state was scored in 10-min epochs. Q(24) values calculated by chi (2) periodgram were low in the Antarctic midwinter. This means that there was difficulty in synchronizing to a 24-h period in the Antarctic midwinter. In Antarctica, sleep onset and offset times were delayed mostly in the midwinter. In Japan, sleep offset time was delayed mostly around the winter solstice.</t>
  </si>
  <si>
    <t>Yamanashi Med Univ, Dept Psychiat, Yamanashi 4093898, Japan; Niigata Univ, Sch Med, Dept Surg, Niigata 951, Japan; Yamanashi Med Univ, Dept Nursing, Yamanashi, Japan</t>
  </si>
  <si>
    <t>University of Yamanashi; Niigata University; University of Yamanashi</t>
  </si>
  <si>
    <t>Usui, A (corresponding author), Yamanashi Med Univ, Dept Psychiat, Yamanashi 4093898, Japan.</t>
  </si>
  <si>
    <t>1323-1316</t>
  </si>
  <si>
    <t>PSYCHIAT CLIN NEUROS</t>
  </si>
  <si>
    <t>Psychiatry Clin. Neurosci.</t>
  </si>
  <si>
    <t>10.1046/j.1440-1819.2000.00715.x</t>
  </si>
  <si>
    <t>Clinical Neurology; Neurosciences; Psychiatry</t>
  </si>
  <si>
    <t>Neurosciences &amp; Neurology; Psychiatry</t>
  </si>
  <si>
    <t>377LQ</t>
  </si>
  <si>
    <t>WOS:000165515400049</t>
  </si>
  <si>
    <t>Behling, H; Arz, HW; Pätzold, J; Wefer, G</t>
  </si>
  <si>
    <t>Late Quaternary vegetational and climate dynamics in northeastern Brazil, inferences from marine core GeoB 3104-1</t>
  </si>
  <si>
    <t>QUATERNARY SCIENCE REVIEWS</t>
  </si>
  <si>
    <t>LAST GLACIAL MAXIMUM; TROPICAL BRAZIL; POLLEN RECORD; FIRE HISTORY; SE BRAZIL; ATLANTIC; AMAZONIA; RAINFALL; VARIABILITY; FOREST</t>
  </si>
  <si>
    <t>Late Quaternary paleoenvironments from northeastern (NE) Brazil have been studied by pollen analysis of marine sediment. The studied core GeoB 3104-1 (3 degrees 40' S, 37 degrees 43' W, 767 m b.s.l.) from the upper continental slope off NE Brazil is 517 cm long and &gt; 42,000 C-14 yr BP old. Chronological control was obtained by 12 radiocarbon (AMS) dates from individuals of the foraminiferal species Globigerinoides sacculifer. Modern pollen analogs were received from 15 river, lake and forest soil surface samples from NE Brazil. Marine pollen dates indicate the predominance of semi-arid caatinga vegetation in NE Brazil during the recorded period between &gt; 42,000 and 8500 C-14 yr BP. The increased fluvial input of terrigenous material, with high concentrations of pollen and specially fern spores, into the marine deposits, about 40,000, 33,000 and 24,000 C-14 yr BP and between 15,500 and 11,800 C-14 yr BP, indicate short-term periods of strong rainfall on the NE Brazilian continent. The expansion of mountain, floodplain and gallery forests characterize the interval between 15,500 and 11,800 C-14 yr BP as the wettest recorded period in NE Brazil, which allowed floristic exchanges between Atlantic rain forest and Amazonian rain forest, and vice versa. The paleodata from core GeoB 3104-1 confirm the, in general, dry pre-last Glacial Maximum (LGM) and LGM conditions and the change to wet Lateglacial environments in tropical South America. The annual movement of the intertropical convergence zone over NE Brazil, the strong influence of the Antarctic cold fronts and changes of the high-pressure cell over the southern Atlantic, may explain the very wet Lateglacial period in NE Brazil. The documented NE Brazilian short-term signals correlate with the documented Dansgaard-Oeschger cycles and Heinrich events from the northern Hemisphere and suggest strong teleconnections. (C) 2000 Elsevier Science Ltd. All rights reserved.</t>
  </si>
  <si>
    <t>Ctr Trop Marine Ecol, D-28359 Bremen, Germany; Univ Bremen, Dept Geosci, D-28359 Bremen, Germany</t>
  </si>
  <si>
    <t>Leibniz Zentrum fur Marine Tropenforschung (ZMT); University of Bremen</t>
  </si>
  <si>
    <t>Behling, H (corresponding author), Ctr Trop Marine Ecol, Fahrenheitstr 1, D-28359 Bremen, Germany.</t>
  </si>
  <si>
    <t>Arz, Helge W/A-6659-2013; Wefer, Gerold/S-2291-2016; Patzold, Jurgen/D-5111-2017</t>
  </si>
  <si>
    <t>Wefer, Gerold/0000-0002-6803-2020; Patzold, Jurgen/0000-0001-8074-4103; Arz, Helge Wolfgang/0000-0002-1997-1718</t>
  </si>
  <si>
    <t>0277-3791</t>
  </si>
  <si>
    <t>QUATERNARY SCI REV</t>
  </si>
  <si>
    <t>Quat. Sci. Rev.</t>
  </si>
  <si>
    <t>10.1016/S0277-3791(99)00046-3</t>
  </si>
  <si>
    <t>324WC</t>
  </si>
  <si>
    <t>WOS:000087643500003</t>
  </si>
  <si>
    <t>Neogene fjordal sedimentation on the western margin of the Lambert Graben, East Antarctica</t>
  </si>
  <si>
    <t>SEDIMENTOLOGY</t>
  </si>
  <si>
    <t>Antarctica; glacial history; glaciomarine sedimentation; Neogene</t>
  </si>
  <si>
    <t>PRINCE-CHARLES-MOUNTAINS; CENOZOIC GLACIAL HISTORY; BAINMEDART COAL MEASURES; DEBRIS-FLOW DEPOSITS; TRANSANTARCTIC MOUNTAINS; TIDEWATER GLACIER; ROSS EMBAYMENT; ICE-SHEET; GLACIMARINE ENVIRONMENT; GLACIGENIC SEDIMENTS</t>
  </si>
  <si>
    <t>The Lambert Graben is occupied by the world's largest fjord system, through which flows the Lambert Glacier, the Amery Ice Shelf and their tributaries. Along the western margin of the graben, in the northern Prince Charles Mountains, remnants of uplifted Miocene and Pliocene strata of the glacigenic fjordal Pagodroma Group total more than 800 m in thickness. These sediments provide evidence for a dynamic East Antarctic ice sheet during the Neogene Period. Each of the four Pagodroma Group formations defined from this region rests unconformably on either Proterozoic or Permo-Triassic rocks. The unconformity surfaces represent parts of the walls and floors of Neogene fjords. For these surfaces to have been eroded, the ice must have been grounded out as far as the continental shelf in Prydz Bay. The Pagodroma Group was deposited by wet-based glaciers discharging into a fjordal setting and includes lithofacies that are quite different from those produced by modern Antarctic ice masses. The principal lithofacies are massive diamicts and soulder gravels, deposited both close to a calving, grounded glacier terminus and from icebergs. The few stratified diamicts are the product of more distal iceberg sedimentation. An ice-transported gravel lithofacies includes rockfall debris derived from palaeofjord walls and mixed with subglacially derived diamicts. Some lithofacies contain evidence of subaquatic slumping and gravity flowage. Volumetrically minor lithofacies include laminites, with some exposures exhibiting large ice-rafted clasts. The laminites represent less proximal, mainly ice-free fjordal sediments, resulting either from tidal-current sorting of suspended sediment originating from subaquatic glaciofluvial discharge, or from turbidity currents derived from unstable subaquatically deposited glacigenic sediment. The Pagodroma Group provides a record of multiple glaciation by dynamic, sliding glaciers carrying large amounts of both basal and supraglacial debris. The closest modern analogues, in terms of the thermal and dynamic characteristics of the Neogene Lambert Glacier, appear to be the fast-flowing tidewater glaciers of East Greenland. These glaciers originate from the interior ice sheet and discharge large volumes of icebergs; the resulting lithofacies are predominantly diamicts.</t>
  </si>
  <si>
    <t>Univ Wales, Ctr Glaciol, Inst Geog &amp; Earth Sci, Aberystwyth SY23 3DB, Dyfed, Wales; Univ New England, Div Earth Sci, Armidale, NSW 2351, Australia</t>
  </si>
  <si>
    <t>Hambrey, MJ (corresponding author), Univ Wales, Ctr Glaciol, Inst Geog &amp; Earth Sci, Aberystwyth SY23 3DB, Dyfed, Wales.</t>
  </si>
  <si>
    <t>mjh@aber.ac.uk; bmckelve@metz.une.edu.au</t>
  </si>
  <si>
    <t>0037-0746</t>
  </si>
  <si>
    <t>1365-3091</t>
  </si>
  <si>
    <t>Sedimentology</t>
  </si>
  <si>
    <t>10.1046/j.1365-3091.2000.00308.x</t>
  </si>
  <si>
    <t>322EA</t>
  </si>
  <si>
    <t>WOS:000087496200006</t>
  </si>
  <si>
    <t>Peri, A; Barbarito, M; Barattoni, M; Abraham, A</t>
  </si>
  <si>
    <t>The dynamics and the interpersonal and intrapersonal relations within an isolated group in extreme environments</t>
  </si>
  <si>
    <t>SMALL GROUP RESEARCH</t>
  </si>
  <si>
    <t>The evolution of interpersonal and intrapersonal relations within an isolated group was investigated during two Italian Antarctic summer campaigns using the Matrix of Intra and Interpersonal Processes in the Group (MIPG). This instrument was effective in the detection of particular modifications of the underlying social-emotional dynamics taking place in the group. In the group of the first campaign, fear of revealing one's true self decreased during the campaign, whereas idealization of the harmony and the repression of all tensions increased. In the second campaign, idealization decreased even more with time, whereas the fear of revealing the self increased at the end of the stay An indirect confirmation of the validity of the MIPG parameters is provided by the correlation between some of its configurations and the positive aspects of individual behavior empirically assessed by the medical officers.</t>
  </si>
  <si>
    <t>Argentine Antarctic Inst, Direcc Nacl Antartico, Buenos Aires, DF, Argentina; Hebrew Univ Jerusalem, IL-91905 Jerusalem, Israel</t>
  </si>
  <si>
    <t>Hebrew University of Jerusalem</t>
  </si>
  <si>
    <t>1046-4964</t>
  </si>
  <si>
    <t>1552-8278</t>
  </si>
  <si>
    <t>SMALL GR RES</t>
  </si>
  <si>
    <t>Small Group Res.</t>
  </si>
  <si>
    <t>10.1177/104649640003100301</t>
  </si>
  <si>
    <t>Psychology, Applied; Management; Psychology, Social</t>
  </si>
  <si>
    <t>Psychology; Business &amp; Economics</t>
  </si>
  <si>
    <t>321PL</t>
  </si>
  <si>
    <t>WOS:000087463800001</t>
  </si>
  <si>
    <t>Vickerman, JC; Oakes, A; Gamble, H</t>
  </si>
  <si>
    <t>Static SIMS studies of catalyst structure and activity</t>
  </si>
  <si>
    <t>SURFACE AND INTERFACE ANALYSIS</t>
  </si>
  <si>
    <t>static SIMS; ToF-SIMS; catalysis; adsorption; auto-exhaust catalysts; atmospheric chemistry; stratospheric clouds; ice</t>
  </si>
  <si>
    <t>POLAR STRATOSPHERIC CLOUDS; CHLORINE NITRATE; HYDROGEN-CHLORIDE; THERMAL-DECOMPOSITION; MASS-SPECTROMETRY; ANTARCTIC OZONE; LOW-TEMPERATURE; NITRIC-ACID; WATER ICE; SURFACE</t>
  </si>
  <si>
    <t>Static SIMS is now widely accepted as a surface mass spectrometry technique providing surface analysis with a very high degree of chemical precision. Many early catalyst-based studies of adsorption and surface reaction helped to establish this capability. These studies demonstrated the sensitivity of static SIMS to surface chemical structure. However, although the capability of static SIMS to characterize surface chemistry with high precision has great potential in this area, it has not been as widely applied in catalytic studies as might have been expected, By reviewing three very different studies from our own laboratory, this paper illustrates the capability of static SIMS to study the detail of surface reactions at single-crystal metal surfaces, to monitor and investigate the surface chemistry of an auto-exhaust catalyst and to investigate ice-catalysed reactions responsible for ozone depletion in polar stratospheric clouds, Copyright (C) 2000 John Wiley &amp; Sons, Ltd.</t>
  </si>
  <si>
    <t>UMIST, Dept Chem, Surface Anal Res Ctr, Manchester M60 1QD, Lancs, England; Procter &amp; Gamble Co, Ctr Tech, Newcastle Upon Tyne NE12 9TS, Tyne &amp; Wear, England</t>
  </si>
  <si>
    <t>University of Manchester; Procter &amp; Gamble</t>
  </si>
  <si>
    <t>Vickerman, JC (corresponding author), UMIST, Dept Chem, Surface Anal Res Ctr, Manchester M60 1QD, Lancs, England.</t>
  </si>
  <si>
    <t>Gamble, Hilary/AAM-4753-2020</t>
  </si>
  <si>
    <t>0142-2421</t>
  </si>
  <si>
    <t>SURF INTERFACE ANAL</t>
  </si>
  <si>
    <t>Surf. Interface Anal.</t>
  </si>
  <si>
    <t>10.1002/1096-9918(200006)29:6&lt;349::AID-SIA822&gt;3.0.CO;2-1</t>
  </si>
  <si>
    <t>Chemistry, Physical</t>
  </si>
  <si>
    <t>328FA</t>
  </si>
  <si>
    <t>WOS:000087837200001</t>
  </si>
  <si>
    <t>New LL-diaminopimelic acid-containing actinomycetes from hypersaline, heliothermal and meromictic Antarctic Ekho Lake:: Nocardioides aquaticus sp nov and Friedmannielly lacustris sp nov.</t>
  </si>
  <si>
    <t>Nocardioides; Friedmaniella; Microlunatus; Propioniferax; lake bacteria; Antarctica; Ekho Lake</t>
  </si>
  <si>
    <t>LIPID-COMPOSITION; GEN-NOV; PHYLOGENETIC ANALYSIS; ARTHROBACTER-SIMPLEX; CORYNEFORM BACTERIA; BUDDING BACTERIUM; ACTIVATED-SLUDGE; CELL-WALL; CLASSIFICATION; TAXA</t>
  </si>
  <si>
    <t>Two Gram-positive, non-motile and aerobic bacteria were isolated from a water sample of the hypersaline Ekho Lake, Antarctica. The cocci or short. rods grew well on oligotrophic PYGV agar of pH 7.5 and at 26 degrees C. Strains EL-17K(T) and EL-17A(T) both required thiamine and biotin, strain EL-17A(T) also re quired nicotinic acid. Carbon sources utilized by both strains were acetate, pyruvate, alpha-D-glucose, glutamate and (weakly) citrate, but succinate, malate or butyrate were utilized only by EL-17K(T). Gelatin, starch and DNA were hydrolyzed, NH3 was formed from peptone, and nitrate was reduced aerobically by both strains. The isolates had the same temperature tolerance for growth in the range rested (below 3 to above 33.5 degrees C) and pH range (&lt;5.5 to &gt;9.5) and were sensitive to chloramphenicol and penicillin G. Their cell walls contained LL-diaminopimelic acid and had a single glycine residue as interpeptide bridge. Strain EL-17A(T) contained glycine at position 1 of the peptide subunit (peptidoglycan type A 3 gamma'). Isolates EL-17K(T) and EL-17A(T) differed in their maximum NaCl tolerance, which was 15% or 6-8%, respectively. The major fatty acid of EL-17K(T) was C-18:1 and that of EL-17A(T) was ai-C-15:0. The major respiratory quinones of EL-17K(T) and EL-17A(T) were MK-8(H-4) and MK-9(H-4), respectively. The former isolate had 69 mol% G+C, the latter had 73 mol% G+C. Comparative 16S rRNA gene sequencing revealed phylogenetic relationships of isolate EL-17K(T) with the genus Nocardioides, with N. pyridinolyticus and N. plantarum as the closest relatives. Phenotypic and genotypic characteristics support the description of a new species, Nocardioides aquaticus sp. nov., with EL-17K(T) as the type strain (= DSM 11439(T)). Isolate EL-17A(T) is related to the genus Friedmanniella, with F. antarctica and F. spumicola as the closest relatives. The differentiating characteristics support the description of a new species, Friedmanniella lacustris sp. nov., with EL-17A(T) as the type strain (= DSM 11465(T)).</t>
  </si>
  <si>
    <t>Univ Kiel, Inst Allgemeine Mikrobiol, D-24118 Kiel, Germany; Univ Reading, Dept Food Sci &amp; Technol, Reading RG6 2AH, Berks, England; Deutsch Sammlung Mikroorganismen &amp; Zellkulturen, D-3300 Braunschweig, Germany</t>
  </si>
  <si>
    <t>University of Kiel; University of Reading; Leibniz Institut fur Deutsche Sammlung von Mikroorganismen und Zellkulturen (DSMZ)</t>
  </si>
  <si>
    <t>Hirsch, P (corresponding author), Univ Kiel, Inst Allgemeine Mikrobiol, D-24118 Kiel, Germany.</t>
  </si>
  <si>
    <t>10.1016/S0723-2020(00)80008-9</t>
  </si>
  <si>
    <t>339MZ</t>
  </si>
  <si>
    <t>WOS:000088482000008</t>
  </si>
  <si>
    <t>Münker, C; Crawford, AJ</t>
  </si>
  <si>
    <t>Cambrian arc evolution along the SE Gondwana active margin:: A synthesis from Tasmania-New Zealand-Australia-Antarctica correlations</t>
  </si>
  <si>
    <t>TECTONICS</t>
  </si>
  <si>
    <t>LACHLAN FOLD BELT; NORTHERN VICTORIA LAND; EARLY PALEOZOIC TERRANES; NEW-ENGLAND OROGEN; NEW-SOUTH-WALES; TECTONIC SIGNIFICANCE; EASTERN AUSTRALIA; SOUTHEASTERN AUSTRALIA; GEOCHEMISTRY; CONSTRAINTS</t>
  </si>
  <si>
    <t>Belts of Cambrian rocks with are affinities in eastern Australia, Tasmania, New Zealand, and Antarctica are part of a single convergent margin, active over 30-40 Ma from the latest Early Cambrian to the Late Cambrian. Two Of the most complete sequences are exposed in western Tasmania and the northern South island of New Zealand (Takaka Terrane). Throughout the Middle Cambrian, magmatism in these two regions, in the Lachlan Fold Belt (SE Australia) and the Bowers Terrane (Antarctica) is represented by intra-oceanic are and back are sequences. In the mid-Middle Cambrian, collision of these are segments with the proto-Gondwana continent is recorded by obducted boninite-bearing ophiolites in Tasmania and SE Australia. Postcollisional magmatism of latest Middle to early Late Cambrian age (e.g., Mount Read Volcanics of Tasmania and Stavely Volcanic Complex of Victoria) terminates convergent tectonics in SE Australia and Tasmania. In contrast, no postcollisional volcanism is known from the Bowers Terrane in Antarctica and from New Zealand. In Antarctica, Cambrian igneous activity in the Wilson Terrane and Transantarctic Mountains formed in an active continental margin setting and lasted through the Middle and Late Cambrian. This suggests that the Wilson Terrane is the lateral continuation on continental basement of the Bowers and Takaka Terrane arcs. The differences between the Australian - Tasmanian and New Zealand - Antarctic are segments may result from a change in subduction polarity along the are chain, suggested by structural features, sedimentation patterns, and isotope systematics. In the SE Australian and Tasmanian are segments the proto-Gondwana plate subducted beneath the Pacific plate whereas subduction in the Antarctic and New Zealand segments was of opposite polarity. Common to most Cambrian fragments in SE proto Gondwana is the tectonic overprint by the Ross-Delamerian orogeny from the Middle Cambrian to Early Ordovician, thus paleogeographically linking all the fragments by the end of the Cambrian. The presence of Early Cambrian intra-oceanic rocks at the SE proto-Gondwana margin suggests separation of Laurentia from Gondwana prior to the Early Cambrian.</t>
  </si>
  <si>
    <t>Univ Gottingen, Inst Geol &amp; Dynam Lithosphare, D-3400 Gottingen, Germany; Univ Gottingen, Inst Geochem, D-3400 Gottingen, Germany; Univ Tasmania, Ctr Ore Deposit Res, Hobart, Tas, Australia</t>
  </si>
  <si>
    <t>University of Gottingen; University of Gottingen; University of Tasmania</t>
  </si>
  <si>
    <t>Univ Munster, D-4400 Munster, Germany.</t>
  </si>
  <si>
    <t>muenker@nwz.uni-muenster.de</t>
  </si>
  <si>
    <t>Munker, Carsten/O-7606-2015</t>
  </si>
  <si>
    <t>Munker, Carsten/0000-0001-6406-559X</t>
  </si>
  <si>
    <t>0278-7407</t>
  </si>
  <si>
    <t>1944-9194</t>
  </si>
  <si>
    <t>Tectonics</t>
  </si>
  <si>
    <t>10.1029/2000TC900002</t>
  </si>
  <si>
    <t>320QR</t>
  </si>
  <si>
    <t>WOS:000087412300001</t>
  </si>
  <si>
    <t>Bovard, RS</t>
  </si>
  <si>
    <t>Injuries to avian researchers at Palmer Station, Antarctica from penguins, giant petrels, and skuas</t>
  </si>
  <si>
    <t>WILDERNESS &amp; ENVIRONMENTAL MEDICINE</t>
  </si>
  <si>
    <t>Antarctica; giant petrel; injuries; penguin; skua</t>
  </si>
  <si>
    <t>This paper describes 5 cases of injury to seabird researchers between 1996 and 1999 at Palmer Station, Antarctica. The injuries were inflicted by 3 seabird species: the Adelie penguin (Pygoscelis adeliae); the southern giant petrel (Macronectes giganteus); and the brown skua (Catharacta lonnbergi). All injured parties were biologic researchers with previous field experience working under National Science Foundation research grants; all sought medical evaluation and treatment voluntarily. The nature and frequency of such injuries seems not to have been greatly reported in the medical literature. Although these cases were largely soft tissue injuries that healed without serious complications, the possibility of exotic infections is considered. We have dubbed this constellation of injuries AVES (Antarctic Vogel [German for bird] Encounter Syndrome).</t>
  </si>
  <si>
    <t>Gundersen Lutheran Med Ctr, Dept Occupat &amp; Prevent Med, La Crosse, WI 54601 USA</t>
  </si>
  <si>
    <t>Gundersen Lutheran Medical Center</t>
  </si>
  <si>
    <t>Bovard, RS (corresponding author), Gundersen Lutheran Med Ctr, Dept Occupat &amp; Prevent Med, 1836 S Ave, La Crosse, WI 54601 USA.</t>
  </si>
  <si>
    <t>Bovard, Ralph S./0000-0002-1351-4065</t>
  </si>
  <si>
    <t>WILDERNESS MEDICAL SOC</t>
  </si>
  <si>
    <t>COLORADO SPRINGS</t>
  </si>
  <si>
    <t>3595 E FOUNTAIN BLVD, STE A1, COLORADO SPRINGS, CO 80910 USA</t>
  </si>
  <si>
    <t>1080-6032</t>
  </si>
  <si>
    <t>WILD ENVIRON MED</t>
  </si>
  <si>
    <t>Wildern. Environ. Med.</t>
  </si>
  <si>
    <t>10.1580/1080-6032(2000)011[0094:ITARAP]2.3.CO;2</t>
  </si>
  <si>
    <t>Public, Environmental &amp; Occupational Health; Sport Sciences</t>
  </si>
  <si>
    <t>330QV</t>
  </si>
  <si>
    <t>WOS:000087973500005</t>
  </si>
  <si>
    <t>Ferris, JK; Vaughan, APM; Storey, BC</t>
  </si>
  <si>
    <t>Relics of a complex triple junction in the Weddell Sea embayment, Antarctica</t>
  </si>
  <si>
    <t>triple junctions; Gondwana; extension; Weddell Sea</t>
  </si>
  <si>
    <t>GONDWANALAND; SATELLITE</t>
  </si>
  <si>
    <t>Interpretation of an airborne magnetic data compilation containing a key, new survey, together with re-tracked satellite gravity data from the Weddell Sea embayment (WSE), West Antarctica, suggests Rift-Rift-Rift triple junction formation at the onset of Gondwana breakup in the Early Middle Jurassic. A complex system of northwest-southeast rifts was active contemporaneously with an east-west trending rift. This rift activity led to northward separation of the Falkland Plateau, and formation of the Weddell Sea by sea floor spreading. Atypically, the Jurassic passive margin of Gondwana shows evidence for coeval extension in two directions and a large volume of interpreted magmatic material. This is consistent with initial doming above a mantle plume and we suggest that this resulted in the formation of a triple junction. Magnetic anomalies indicate a series of faults perpendicular to igneous intrusions and extrusions with outlines that range in shape from lozenges to parallel ridges. They show remarkably good spatial correlation with free air gravity anomalies, even in areas of sea ice. We base a structural elements map and timing sequence for the events in the WSE during early Gondwana breakup on anomaly cross-cutting relationships. (C) 2000 Elsevier Science B.V. All rights reserved.</t>
  </si>
  <si>
    <t>j.ferris@bas.ac.uk</t>
  </si>
  <si>
    <t>MAY 30</t>
  </si>
  <si>
    <t>10.1016/S0012-821X(00)00076-5</t>
  </si>
  <si>
    <t>321UY</t>
  </si>
  <si>
    <t>WOS:000087474100003</t>
  </si>
  <si>
    <t>Tabazadeh, A; Santee, ML; Danilin, MY; Pumphrey, HC; Newman, PA; Hamill, PJ; Mergenthaler, JL</t>
  </si>
  <si>
    <t>Quantifying denitrification and its effect on ozone recovery</t>
  </si>
  <si>
    <t>MICROWAVE LIMB SOUNDER; WINTER POLAR STRATOSPHERES; ARCTIC OZONE; NITRIC-ACID; WATER-VAPOR; ANTARCTIC STRATOSPHERE; ATMOSPHERIC CHEMISTRY; HNO3 OBSERVATIONS; CLAES EXPERIMENT; CLOUD FORMATION</t>
  </si>
  <si>
    <t>Upper Atmosphere Research Satellite observations indicate that extensive denitrification without significant dehydration currently occurs only in the Antarctic during mid to late June. The fact that denitrification occurs in a relatively warm month in the Antarctic raises concern about the likelihood of its occurrence and associated effects on ozone recovery in a colder and possibly more humid future Arctic lower stratosphere. Polar stratospheric cloud lifetimes required for Arctic denitrification to occur in the future are presented and contrasted against the current Antarctic cloud lifetimes. Model calculations show that widespread severe denitrification could enhance future Arctic ozone loss by up to 30%.</t>
  </si>
  <si>
    <t>NASA, Ames Res Ctr, Moffett Field, CA 94035 USA; CALTECH, Jet Prop Lab, Pasadena, CA 91109 USA; Atmospher &amp; Environm Res Inc, Cambridge, MA 02139 USA; Univ Edinburgh, Dept Meteorol, Edinburgh EH9 3JZ, Midlothian, Scotland; NASA, Goddard Space Flight Ctr, Greenbelt, MD 20904 USA; San Jose State Univ, Dept Phys, San Jose, CA 95192 USA; Lockheed Martin Adv Technol Ctr, Palo Alto, CA 94304 USA</t>
  </si>
  <si>
    <t>National Aeronautics &amp; Space Administration (NASA); NASA Ames Research Center; National Aeronautics &amp; Space Administration (NASA); NASA Jet Propulsion Laboratory (JPL); California Institute of Technology; Atmospheric &amp; Environmental Research; University of Edinburgh; National Aeronautics &amp; Space Administration (NASA); NASA Goddard Space Flight Center; California State University System; San Jose State University; Lockheed Martin</t>
  </si>
  <si>
    <t>NASA, Ames Res Ctr, MS 245-4, Moffett Field, CA 94035 USA.</t>
  </si>
  <si>
    <t>atabazadeh@mail.arc.nasa.gov</t>
  </si>
  <si>
    <t>Santee, MIchelle/R-5762-2019; Pumphrey, Hugh/S-2969-2019; Newman, Paul A./D-6208-2012</t>
  </si>
  <si>
    <t>Pumphrey, Hugh/0000-0003-0747-1457; Newman, Paul A./0000-0003-1139-2508</t>
  </si>
  <si>
    <t>1095-9203</t>
  </si>
  <si>
    <t>MAY 26</t>
  </si>
  <si>
    <t>10.1126/science.288.5470.1407</t>
  </si>
  <si>
    <t>318EL</t>
  </si>
  <si>
    <t>WOS:000087270900046</t>
  </si>
  <si>
    <t>Coscia, MR; Oreste, U</t>
  </si>
  <si>
    <t>Plasma and bile antibodies of the teleost Trematomus bernacchii specific for the nematode Pseudoterranova decipiens</t>
  </si>
  <si>
    <t>DISEASES OF AQUATIC ORGANISMS</t>
  </si>
  <si>
    <t>fish antibody; nematode antigen; Pseudorerranova decipiens; Trematomus bernacchii; anti-parasite antibody; Antarctic fish; bile antibody</t>
  </si>
  <si>
    <t>ANGUILLICOLA-CRASSUS; ANTARCTIC FISH; IMMUNOGLOBULINS; TEMPERATURE; PHYLOGENY; ATLANTIC; ANTIGEN; SERUM</t>
  </si>
  <si>
    <t>We investigated the occurrence of antibodies against protein antigens of the nematode parasite Pseudoterranova decipiens in the plasma and bile of the Antarctic teleost Trematomus bernacchii. Three different P. decipiens protein solutions were prepared: excreted/secreted proteins from live larvae (ESP); surface-associated proteins obtained by mild extraction of larval bodies (SAP); and cuticular soluble proteins recovered by extraction in strong reducing conditions (CSP). Using different immunoassays, these 3 preparations were tested for their ability to bind fish antibody. As determined by ELISA, the specific antibody binding activity was higher in SAP than in CSP. As determined by dot-blot immunoassay, the specific antigen binding activity versus SAP was higher in bile than in plasma antibodies. A different number of antigenic components of SAP and ESP were identified by immunoblotting performed with plasma or bile antibodies. These results led to the conclusion that T. bernacchii parasitism by nematodes involves plasma and bile anti-parasite antibodies. Furthermore bile antibodies were found to be more reactive and more heterogeneous than plasma.</t>
  </si>
  <si>
    <t>Oreste, U (corresponding author), CNR, Inst Prot Biochem &amp; Enzymol, Via Marconi 12, I-80125 Naples, Italy.</t>
  </si>
  <si>
    <t>Coscia, Maria Rosaria/AAU-1808-2021</t>
  </si>
  <si>
    <t>0177-5103</t>
  </si>
  <si>
    <t>DIS AQUAT ORGAN</t>
  </si>
  <si>
    <t>Dis. Aquat. Org.</t>
  </si>
  <si>
    <t>MAY 25</t>
  </si>
  <si>
    <t>10.3354/dao041037</t>
  </si>
  <si>
    <t>Fisheries; Veterinary Sciences</t>
  </si>
  <si>
    <t>336NU</t>
  </si>
  <si>
    <t>WOS:000088310100005</t>
  </si>
  <si>
    <t>Fairbrother, DH; Somorjai, GA</t>
  </si>
  <si>
    <t>Equilibrium surface composition of sulfuric acid films in contact with various atmospheric gases (HNO3, CO2, CH2O, Cl2, NO, NO2)</t>
  </si>
  <si>
    <t>JOURNAL OF PHYSICAL CHEMISTRY B</t>
  </si>
  <si>
    <t>ULTRAHIGH-VACUUM; LOW-TEMPERATURES; ANTARCTIC OZONE; NITRIC-ACID; WATER; VAPOR; SPECTROSCOPY; FORMALDEHYDE; ADSORPTION; CHEMISTRY</t>
  </si>
  <si>
    <t>Differentially pumped X-ray photoelectron spectroscopy has been used to study the surface composition of sulfuric acid (H2SO4) and sulfuric acid/water mixtures in equilibrium with various atmospheric species. Nitric acid uptake in sulfuric acid solutions was observed below approximate to 220K. Compared to the theoretically predicted bulk composition, a significant enrichment of nitrogen was observed at the interface. The uptake of background water in sulfuric acid below 200 K was responsible for the reversible uptake of CO2, moderated through the formation of carbonic acid (H2CO3). For CH2O, Cl-2, NO, and NO2, no observable surface species were observed over the temperature range studied (approximate to 180-298 K).</t>
  </si>
  <si>
    <t>Univ Calif Berkeley, Dept Chem, Berkeley, CA 94720 USA</t>
  </si>
  <si>
    <t>University of California System; University of California Berkeley</t>
  </si>
  <si>
    <t>Univ Calif Berkeley, Dept Chem, Berkeley, CA 94720 USA.</t>
  </si>
  <si>
    <t>howardf@jhunix.hcf.jhu.edu</t>
  </si>
  <si>
    <t>1520-6106</t>
  </si>
  <si>
    <t>J PHYS CHEM B</t>
  </si>
  <si>
    <t>J. Phys. Chem. B</t>
  </si>
  <si>
    <t>MAY 18</t>
  </si>
  <si>
    <t>10.1021/jp992889f</t>
  </si>
  <si>
    <t>313MP</t>
  </si>
  <si>
    <t>WOS:000087003700010</t>
  </si>
  <si>
    <t>Pasteur, EC; Mulvaney, R</t>
  </si>
  <si>
    <t>Migration of methane sulphonate in Antarctic firn and ice</t>
  </si>
  <si>
    <t>METHANESULFONIC-ACID; SULFUR; CORE; SNOW; CHEMISTRY; STATION; SULFATE; AEROSOL; ISLAND; DOME</t>
  </si>
  <si>
    <t>We investigate the seasonal relationship of the sulphur-bearing anions methane sulphonate (MSA(-)) and non-sea-salt sulphate (nssSO(4)(2-)) in sections of firn and ice cores from the Antarctic Peninsula and Weddell Sea region of Antarctica. In cores from Dolleman Island and Berkner Island, MSA(-) has clearly migrated from the summer snow layer, where it is initially deposited, to become concentrated in the winter layer. A similar behavior is evident in a core from the Dyer Plateau, though in deeper layers. Cores from Gomez Nunatak and Beethoven Peninsula show little evidence of relocation of MSA(-), though migration at greater depth in the ice sheet cannot be ruled out. In contrast, in all these cores, non-sea-salt sulphate remains in the summer layer. From comparisons between the ice core characteristics and the migration behavior at these sites, we conclude that the movement of MSA(-) does not occur via percolation and refreezing of meltwater. Simple concentration-driven diffusion is also not a factor, as the MSA(-) peaks are sharp in the winter layer. The data presented indicate that the movement of MSA(-) in firn is likely to be linked to the concentration of other ionic species in the snowpack and to the snow accumulation rate. A possible mechanism for the migration of MSA(-) in the snowpack is via an initial diffusion in the liquid or vapor phase, which is halted by trapping in the winter layer when the MSA(-) forms a salt with a cation.</t>
  </si>
  <si>
    <t>Pasteur, EC (corresponding author), British Antarctic Survey, NERC, Madingley Rd, Cambridge CB3 0ET, England.</t>
  </si>
  <si>
    <t>r.mulvaney@bas.ac.uk</t>
  </si>
  <si>
    <t>Mulvaney, Robert/K-3929-2012</t>
  </si>
  <si>
    <t>Mulvaney, Robert/0000-0002-5372-8148</t>
  </si>
  <si>
    <t>MAY 16</t>
  </si>
  <si>
    <t>D9</t>
  </si>
  <si>
    <t>10.1029/2000JD900006</t>
  </si>
  <si>
    <t>315RA</t>
  </si>
  <si>
    <t>WOS:000087125700001</t>
  </si>
  <si>
    <t>Kawamoto, N; Shiotani, M</t>
  </si>
  <si>
    <t>Interannual variability of the vertical descent rate in the Antarctic polar vortex</t>
  </si>
  <si>
    <t>MEAN-FLOW INTERACTION; QUASI-BIENNIAL OSCILLATION; SOUTHERN-HEMISPHERE; DOWNWARD CONTROL; STRATOSPHERE; HALOE; WAVE; CIRCULATION; WINTER; OZONE</t>
  </si>
  <si>
    <t>To investigate a descent rate in the Antarctic polar vortex, we analyzed the long-lived trace gas data derived from the Halogen Occultation Experiment on board the Upper Atmosphere Research Satellite during the 6-year period from 1992 to 1997. By comparing the Antarctic fall (February and March) and spring (September and October) methane profiles, we estimated the middle stratospheric descent for each of the six winters. Large year-to-year variations are seen (1.2-1.8 km month(-1) at 0.6 ppmv), which consist of a biennial oscillation and a decreasing trend for the period analyzed. The descent rate is larger in the even years (1992, 1994, and 1996) than in the odd years (1993, 1995, and 1997). Dynamical fields for the 6 years are also analyzed using the United Kingdom Meteorological Office assimilation data. The differences between the even and odd years are clear in the midwinter. In the even years the downward and poleward movement of the westerly jet occurs earlier. The thermal wind relation infers that this event is associated with the development of a warm pool around the Antarctic stratopause, resulting from adiabatic heating due to the downward motion of air. Planetary wave activity over the winter season is more vigorous in the even years than in the odd years, suggesting a close relationship between the mean flow and planetary waves.</t>
  </si>
  <si>
    <t>Kyoto Univ, Fac Sci, Dept Geophys, Kyoto 6068502, Japan; Hokkaido Univ, Grad Sch Environm Earth Sci, Div Ocean &amp; Atmospher Sci, Sapporo, Hokkaido 0600810, Japan</t>
  </si>
  <si>
    <t>Kyoto University; Hokkaido University</t>
  </si>
  <si>
    <t>kawamoto@kugi.kyoto-u.ac.jp</t>
  </si>
  <si>
    <t>Shiotani, Masato/M-8498-2017</t>
  </si>
  <si>
    <t>Shiotani, Masato/0000-0001-5844-4032</t>
  </si>
  <si>
    <t>10.1029/2000JD900076</t>
  </si>
  <si>
    <t>WOS:000087125700033</t>
  </si>
  <si>
    <t>Schouten, S; Bowman, JP; Rijpstra, WIC; Damsté, JSS</t>
  </si>
  <si>
    <t>Sterols in a psychrophilic methanotroph, Methylosphaera hansonii</t>
  </si>
  <si>
    <t>FEMS MICROBIOLOGY LETTERS</t>
  </si>
  <si>
    <t>4,4-dimethylsterol; 4-methylsterol; Methylosphaera hansonii</t>
  </si>
  <si>
    <t>METHYLOCOCCUS-CAPSULATUS; BIOMARKERS; MARINE</t>
  </si>
  <si>
    <t>A suite of six sterols, lanosterol, lanost-8(9)-en-3 beta-ol, 4,4-dimethylcholesta-8(14),24-dien-3 beta-ol 4,4-dimethylcholest-8(14)-en-3 beta-ol, 4-methylcholesta-8(14),24-dien-3 beta-ol and 4-melhylcholest-8(14)-en-3 beta-ol, were identified in the psychrophilic methanotrophic bacterium, Methylosphaera hansonii. Their presence suggests that the capacity for sterol biosynthesis in methanotrophic bacteria is limited to the family Methylococcaceae but which have widely different optimal growth temperatures. (C) 2000 Federation of European Microbiological Societies. Published by Elsevier Science B.V. All rights reserved.</t>
  </si>
  <si>
    <t>Netherlands Inst Sea Res, Dept Marine Biogeochem &amp; Toxicol, NL-1790 AB Den Burg, Netherlands; Univ Tasmania, Dept Agr Sci, Hobart, Tas 7001, Australia; Univ Tasmania, Antarctic CRC, Hobart, Tas 7001, Australia</t>
  </si>
  <si>
    <t>Utrecht University; Royal Netherlands Institute for Sea Research (NIOZ); University of Tasmania; University of Tasmania</t>
  </si>
  <si>
    <t>Schouten, S (corresponding author), Netherlands Inst Sea Res, Dept Marine Biogeochem &amp; Toxicol, POB 59, NL-1790 AB Den Burg, Netherlands.</t>
  </si>
  <si>
    <t>Bowman, John P./ABF-5108-2020; Bowman, John P/C-2414-2014; Sinninghe Damste, Jaap/F-6128-2011</t>
  </si>
  <si>
    <t>Bowman, John P./0000-0002-4528-9333; Bowman, John P/0000-0002-4528-9333; Sinninghe Damste, Jaap/0000-0002-8683-1854</t>
  </si>
  <si>
    <t>0378-1097</t>
  </si>
  <si>
    <t>FEMS MICROBIOL LETT</t>
  </si>
  <si>
    <t>FEMS Microbiol. Lett.</t>
  </si>
  <si>
    <t>MAY 15</t>
  </si>
  <si>
    <t>10.1111/j.1574-6968.2000.tb09103.x</t>
  </si>
  <si>
    <t>312ZL</t>
  </si>
  <si>
    <t>WOS:000086973800009</t>
  </si>
  <si>
    <t>Barker, PF; Lawver, LA</t>
  </si>
  <si>
    <t>Anomalous temperatures in central Scotia Sea sediments - bottom water variation or pore water circulation in old ocean crust (vol 27, pg 13, 2000)</t>
  </si>
  <si>
    <t>British Antarctic Survey, Cambridge, England; Univ Texas, Inst Geophys, Austin, TX USA</t>
  </si>
  <si>
    <t>UK Research &amp; Innovation (UKRI); Natural Environment Research Council (NERC); NERC British Antarctic Survey; University of Texas System; University of Texas Austin</t>
  </si>
  <si>
    <t>Barker, PF (corresponding author), British Antarctic Survey, Cambridge, England.</t>
  </si>
  <si>
    <t>Lawver, Lawrence/A-1630-2009</t>
  </si>
  <si>
    <t>10.1029/2000GL900007</t>
  </si>
  <si>
    <t>314NK</t>
  </si>
  <si>
    <t>WOS:000087062000035</t>
  </si>
  <si>
    <t>Werner, I</t>
  </si>
  <si>
    <t>Faecal pellet production by Arctic under-ice amphipods - transfer of organic matter through the ice/water interface</t>
  </si>
  <si>
    <t>33rd European Marine Biology Symposium</t>
  </si>
  <si>
    <t>SEP 07-11, 1998</t>
  </si>
  <si>
    <t>WILHELMSHAVEN, GERMANY</t>
  </si>
  <si>
    <t>faecal pellets; Amphipoda; sea ice; feeding; carbon flux; Greenland Sea</t>
  </si>
  <si>
    <t>SOUTHWESTERN BEAUFORT SEA; FECAL PELLETS; PARTICLE-FLUX; EUPHAUSIA-SUPERBA; ANTARCTIC KRILL; GREENLAND-SEA; BARENTS SEA; OCEAN; ZOOPLANKTON; WATERS</t>
  </si>
  <si>
    <t>The underside of Arctic sea ice is inhabited by several autochthonous amphipod species (Apherusa glacialis, Onisimus spp., Gammarus wilkitzkii). The amphipods graze on ice-bound organic matter, such as ice algae, detritus and ice fauna, and release faecal pellets into the underlying water column, thus forming a direct link between the sea ice and the pelagic ecosystems. Experiments on faecal pellet production rates showed species-specific differences, which were related to size of the animals. The smallest species, A. glacialis, produced the highest mean number of pellets (15.4 pellets ind.(-1) d(-1)), followed by Onisimus spp. (2.7 pellets ind.(-1) d(-1)) and the largest species, G. wilkitzkii (1.1 pellets ind.(-1) d(-1)). Relative carbon content of the pellets was very similar in all species (21.2-22.6% dry mass). Juvenile amphipods (Onisimus spp., G. wilkitzkii) produced more pellets with less POC than adults. Based on field determinations of the POC concentration in the lowermost 2 cm of the sea ice (mean: 36.4 mg C m(-2)) and mean amphipod abundances (A. glacialis: 33.8 ind. m(-2), Onisimus spp.: 0.5 ind. m(-2), G, wilkitzkii: 9.4 ind. m(-2)) in the Greenland Sea in summer 1994, the amount of POC transferred from the ice to the water by faecal pellet production was estimated (0.7 mg C m(-2) d(-1) or almost 2% of ice-bound carbon). Since this process probably takes place in all ice-covered Arctic regions as well as during all seasons, grazing and pellet production by under-ice amphipods contributes significantly to matter flux across the ice/water interface.</t>
  </si>
  <si>
    <t>Inst Polar Ecol, D-24148 Kiel, Germany</t>
  </si>
  <si>
    <t>Inst Polar Ecol, Wischhofstr 1-3, D-24148 Kiel, Germany.</t>
  </si>
  <si>
    <t>iwerner@ipoe.uni-kiel.de</t>
  </si>
  <si>
    <t>10.1023/A:1003984327103</t>
  </si>
  <si>
    <t>341FH</t>
  </si>
  <si>
    <t>WOS:000088580000009</t>
  </si>
  <si>
    <t>Comiso, JC</t>
  </si>
  <si>
    <t>Variability and trends in Antarctic surface temperatures from in situ and satellite infrared measurements</t>
  </si>
  <si>
    <t>HIGH-RESOLUTION RADIOMETER; SEA-ICE EXTENT; CLIMATE VARIABILITY; CIRCUMPOLAR WAVE; AIR-TEMPERATURE; TIME-SERIES; MINIMUM; SHEETS; OCEAN</t>
  </si>
  <si>
    <t>The surface air temperatures observed from stations in Antarctica have been shown to have predominantly positive trends that are as high as 0.5 degrees C decade(-1) along the Antarctic Peninsula. To evaluate whether the trends are caused by a local or large-scale phenomenon in the Antarctic region, surface temperatures inferred from infrared satellite data from 1979 to 1998 have been analyzed in combination with data from 21 stations that have long record lengths. The surface temperatures derived from infrared data are coherent spatially and temporally and are shown to agree well with Antarctic station data with a correlation coefficient of 0.98 and a standard deviation of about 3 degrees C. The trend analysis on station data yielded on the average 0.012 +/- 0.008 degrees C yr(-1) and -0.008 +/- 0.025 degrees C yr(-1) for the 45- and 20-yr record, respectively. The latter reasonably agrees with the trend of -0.042 +/- 0.067 degrees C yr(-1) inferred from the satellite 20-yr record. The 20-yr record length is shown to be about the minimum length required for a meaningful trend analysis study. However, interannual fluctuations of the temperatures are large and the 95% confidence level for the satellite trends ranges from -0.177 to 0.094 degrees C yr(-1) for the Antarctic ice sheet. Nevertheless, the observed cooling is intriguing, especially since it is compatible with the observed trend in the sea ice cover. In the sea ice regions, the northernmost positions of the ice edge are shown to be influenced by alternating warm and cold anomalies around the Continent. The pattern of these anomalies is consistent with that of the Antarctic circumpolar wave but with predominantly mode-3 instead of mode-2 wave as reported previously.</t>
  </si>
  <si>
    <t>NASA, Goddard Space Flight Ctr, Lab Hydrospher Proc, Greenbelt, MD 20771 USA</t>
  </si>
  <si>
    <t>Comiso, JC (corresponding author), NASA, Goddard Space Flight Ctr, Lab Hydrospher Proc, Code 971, Greenbelt, MD 20771 USA.</t>
  </si>
  <si>
    <t>10.1175/1520-0442(2000)013&lt;1674:VATIAS&gt;2.0.CO;2</t>
  </si>
  <si>
    <t>319PJ</t>
  </si>
  <si>
    <t>WOS:000087350100004</t>
  </si>
  <si>
    <t>Yuan, XJ; Martinson, DG</t>
  </si>
  <si>
    <t>Antarctic sea ice extent variability and its global connectivity</t>
  </si>
  <si>
    <t>NINO-SOUTHERN OSCILLATION; HARMONIC STANDING WAVES; SURFACE-TEMPERATURE; CIRCUMPOLAR WAVE; EL-NINO; INTERANNUAL VARIABILITY; ATMOSPHERIC CIRCULATION; SEMIANNUAL OSCILLATION; EXTRATROPICAL CYCLONE; MODEL SENSITIVITY</t>
  </si>
  <si>
    <t>This study statistically evaluates the relationship between Antarctic sea ice extent and global climate variability. Temporal cross correlations between detrended Antarctic sea ice edge (SIF) anomaly and Various climate indices are calculated. For the sea surface temperature (SST) in the eastern equatorial Pacific and tropical Indian Ocean, as well as the tropical Pacific precipitation, a coherent propagating pattern is clearly evident in all correlations with the spatially averaged (over 12 degrees longitude) detrended SIE anomalies ((SIE*)). Correlations with ENSO indices imply that up to 34% of the variance in (SIE*) is linearly related to ENSO. The (SIE*) has even higher correlations with the tropical Pacific precipitation and SST in the tropical Indian Ocean. In addition, correlation of (SIE*) with global surface temperature produces four characteristic correlation patterns: 1) an ENSO-like pattern in the Tropics with strong correlations in the Indian Ocean and North America (r &gt; 0.6); 2) a teleconnection pattern between the eastern Pacific region of the Antarctic and western-central tropical Pacific; 3) an Antarctic dipole across the Drake Passage; and 4) meridional banding structures in the central Pacific and Atlantic expending from polar regions to the Tropics, even to the Northern Hemisphere. The SIE anomalies in the Amundsen Sea, Berlingshausen Sea, and Weddell Gyre of the Antarctic polar ocean sectors show the strongest polar links to extrapolar climate. Linear correlations between (SIE*) in those regions and global climate parameters pass a local significance test at the 95% confidence lever. The field significance, designed to account for spatial coherence in the surface temperature, is evaluated using quasiperiodic colored noise that is more appropriate than white noise. The fraction of the globe displaying locally significant correlations (at the 95% confidence level) between (SIE*) and global temperature is significantly larger, at the 99.5% confidence level, than the fraction expected given quasiperiodic colored noise in place of the (SIE*). Based on EOF analysis and multiplicity theory, the four teleconnection patterns the authors found are the ones reflecting correlations most likely to be physically meaningful.</t>
  </si>
  <si>
    <t>Columbia Univ, Lamont Doherty Geol Observ, Palisades, NY 10964 USA; Columbia Univ, Dept Earth &amp; Environm Sci, Palisades, NY 10964 USA</t>
  </si>
  <si>
    <t>Columbia University; Columbia University</t>
  </si>
  <si>
    <t>Yuan, XJ (corresponding author), Columbia Univ, Lamont Doherty Geol Observ, 61 RT 9W, Palisades, NY 10964 USA.</t>
  </si>
  <si>
    <t>Yuan, Xiaojun/AAI-7770-2020</t>
  </si>
  <si>
    <t>Yuan, Xiaojun/0000-0002-6530-1619</t>
  </si>
  <si>
    <t>10.1175/1520-0442(2000)013&lt;1697:ASIEVA&gt;2.0.CO;2</t>
  </si>
  <si>
    <t>WOS:000087350100005</t>
  </si>
  <si>
    <t>White, WB; Cayan, DR</t>
  </si>
  <si>
    <t>A global El Nino-Southern Oscillation wave in surface temperature and pressure and its interdecadal modulation from 1900 to 1997</t>
  </si>
  <si>
    <t>UPPER-OCEAN TEMPERATURE; ANTARCTIC CIRCUMPOLAR WAVE; INTERANNUAL TIME SCALES; SEA-LEVEL PRESSURE; TRADE-WIND SYSTEM; CHANGING SOLAR IRRADIANCE; PACIFIC-OCEAN; TROPICAL PACIFIC; ENSO EVENTS; VARIABILITY</t>
  </si>
  <si>
    <t>Zonal wavenumber frequency spectra of sea surface temperature (SST) anomalies along the equator in the Indo-Pacific basin For the 98 years from 1900 to 1997 and of surface temperature (ST) and sea level pressure (SLP) anomalies extending around the globe along 10 degrees N for the 48 years from 1950 to 1997 display significant peak spectral energy density for standing and eastward propagating waves of 3-7 year periods and 120 degrees-360 degrees zonal wavelengths, The global standing wave is the familiar Southern Oscillation, but the global propagating wave represents a new paradigm for the El Nino-Southern Oscillation (ENSO). Global distributions of the phase velocities for this global ENSO wave finds covarying SLP and ST anomalies propagating eastward along the mean path of the Intertropical Convergence Zone (ITCZ), with the global zonal wavenumber 1 (2) component taking similar to 4 (6) years to cross the tropical Indian, Pacific, and Atlantic Oceans at a zonal average speed of 90 degrees (60 degrees) longitude per year. Along this path the interannual SST acid SLP anomalies are directly out of phase. Since thermocline depth anomalies underneath the ITCZ in the Pacific Ocean propagate westward [White et al. 1985], we view the global ENSO wave as a slow coupled SST wave trapped onto the ITCZ. Separating the global ENSO wave from the Southern Oscillation using complex empirical orthogonal function analysis finds the amplitude of the propagating wave to be half that of the standing wave, with the former (latter) accounting for one third (two thirds) of the interannual variability in Nino-3 SST and SLP indices during the 1980s. The global ENSO wave is shown to be responsible for the eastward propagation of covarying zonal surface wind and thermocline depth anomalies across the equatorial Pacific Ocean and through this mechanism is able to influence both the phasing and intensity of El Nino. Examining the persistence of the global ENSO wave from 1900 to 1997 finds it and the intensity of El Nino in the eastern equatorial Pacific Ocean modulated by interdecadal change, Both were strong (weak or absent) during decades of global tropical cooling (warming).</t>
  </si>
  <si>
    <t>Univ Calif San Diego, Scripps Inst Oceanog, La Jolla, CA 92093 USA.</t>
  </si>
  <si>
    <t>C5</t>
  </si>
  <si>
    <t>10.1029/1999JC900246</t>
  </si>
  <si>
    <t>316DU</t>
  </si>
  <si>
    <t>WOS:000087153000001</t>
  </si>
  <si>
    <t>Sedwick, PN; DiTullio, GR; Mackey, DJ</t>
  </si>
  <si>
    <t>Iron and manganese in the Ross Sea, Antarctica: Seasonal iron limitation in Antarctic shelf waters</t>
  </si>
  <si>
    <t>EQUATORIAL PACIFIC-OCEAN; SOUTHERN-OCEAN; PHYTOPLANKTON GROWTH; CONTINENTAL-SHELF; ATLANTIC-OCEAN; TRACE-METALS; PHAEOCYSTIS-POUCHETII; SPATIAL PATTERNS; BIOGENIC SILICA; NORTH PACIFIC</t>
  </si>
  <si>
    <t>Dissolved iron and manganese and total dissolvable iron were measured in water column samples collected From the polynya region of the southern Ross Sea during cruises in November-December 1994 (spring 1994) and December 1995 to January 1996(summer 1995). Iron and manganese addition bottle incubation experiments were also performed during these cruises in order to assess the nutritional sufficiency of ambient iron and manganese concentrations for growth of the phytoplankton community. Generally high dissolved iron concentrations (&gt; 0.5 nM) and relatively complex iron and manganese vertical profiles were obtained during the spring 1994 cruise, compared with the summer 1995 data. Dissolved iron concentrations in the upper water column averaged 1.0 nM during spring 1994 and 0.23 nM ill summer 1995, excluding two stations where concentrations exceeding 1 nM are attributed to inputs from melting sea ice. The observed differences in the distribution of iron and manganese between spring 1994 and summer 1995 are attributed to seasonal decreases in the upwelling of bottom waters and melting of sea ice, which supply these metals into the upper water column, combined with the cumulative removal of iron and manganese from the water column throughout the spring and summer, due to biological uptake, vertical export and scavenging by suspended and sinking particles. Results of the metal addition bottle incubation experiments indicate that ambient dissolved iron concentrations are adequate for phytoplankton growth requirements during the spring and early summer, when algal production is highest and Phaeocystis antarctica dominates the algal community, whereas low dissolved iron concentrations limit algal community growth later in the summer, except in the stratified, iron-enriched waters near melting sea ice, where diatoms are able to bloom. Our observations and the inferred seasonal distributions of P. antarctica and diatoms in these waters suggest that iron availability and vertical mixing (i.e., irradiance) exert the primary controls on phytoplankton growth and community structure in the southern Ross Sea during the spring and summer.</t>
  </si>
  <si>
    <t>Antarctic CRC, Hobart, Tas 7001, Australia; Univ Charleston, Grice Marine Lab, Charleston, SC 29412 USA; CSIRO, Div Marine Res, Hobart, Tas 7001, Australia</t>
  </si>
  <si>
    <t>College of Charleston; Commonwealth Scientific &amp; Industrial Research Organisation (CSIRO)</t>
  </si>
  <si>
    <t>Antarctic CRC, GPO Box 252-80, Hobart, Tas 7001, Australia.</t>
  </si>
  <si>
    <t>P.Sedwick@utas.edu.au</t>
  </si>
  <si>
    <t>Sedwick, Peter/0000-0003-0663-8323</t>
  </si>
  <si>
    <t>10.1029/2000JC000256</t>
  </si>
  <si>
    <t>WOS:000087153000006</t>
  </si>
  <si>
    <t>Hoppema, M; Fahrbach, E; de Baar, HJW</t>
  </si>
  <si>
    <t>Surface layer balance of the southern Antarctic Circumpolar Current (prime meridian) used to derive carbon and silicate consumptions and annual air-sea exchange for CO2 and oxygen</t>
  </si>
  <si>
    <t>WEDDELL SEA; BIOGENIC SILICA; GLOBAL OCEAN; DIOXIDE; WATER; RATIOS; SUMMER; MARINE; ZONE; DISTRIBUTIONS</t>
  </si>
  <si>
    <t>A simple model, using concentrations of nitrate and phosphate in austral winter 1992, reveals that the Antarctic Surface Water (AASW) of the southernmost Antarctic Circumpolar Current (ACC) between the Southern ACC Front and the Weddell Front is made up of similar to 90% Upper Circumpolar Deep Water (UCDW) and 10% northward flowing AASW from the Weddell Gyre. With a typical timescale of similar to 1 year the upwelling velocity tvas calculated to be as high as 60-100 m yr(-1). Knowing the composition of the surface water with respect to its sources, changes due to several processes in the surface layer were deduced for carbon dioxide, oxygen, and silicate. As the timescale of changes in the surface layer of the southern ACC is similar to 1 year, this allows us to calculate changes on an annual basis without interference of short-term variations. Balancing the contributions by upwelling, biological activity, and air-sea exchange to the concentrations in the surface layer, the area was found to be a large sink for atmospheric oxygen of 6.0 mol m(-2) yr(-1) (53 mu mol kg(-1)) and a small sink for atmospheric carbon dioxide of 1.0 mol m(-2) yr(-1) (9 mu mol kg(-1)), The most important cause For the oxygen sink is the upwelling of oxygen-poor UCDW, which surpasses the oxygen-elevating effect of primary productivity. This large oxygen sink, in between areas to the north and south which are only a small sink or even a source, conforms with the latitudinal distribution of atmospheric oxygen, The small CO2 sink is largely brought about by biological activity. The annual carbon utilization amounts to 76 +/- 22 g C m(-2) yr, which is relatively high for an open ocean region in the Antarctic. However, it supports recent estimates of primary production of the Antarctic Ocean that are higher than early published values. The annual silicate consumption was calculated to be 126 +/- 19 g Si m yr(-1), This is considerably higher than the Southern Ocean mean in current estimates, Although the southernmost ACC may be atypical for the Southern Ocean, the current estimate for Southern Ocean silica production may well be an underestimation. The silicate to carbon utilization ratio derived here is 0.53 which aligns with investigations on Antarctic phytoplankton and thus underscores the consistency of our results.</t>
  </si>
  <si>
    <t>Univ Bremen, Dept Tracer Oceanog, D-28334 Bremen, Germany; Alfred Wegener Inst Polar &amp; Marine Res, D-27570 Bremerhaven, Germany; Netherlands Inst Sea Res, NL-1790 AB Den Burg, Netherlands</t>
  </si>
  <si>
    <t>University of Bremen; Helmholtz Association; Alfred Wegener Institute, Helmholtz Centre for Polar &amp; Marine Research; Utrecht University; Royal Netherlands Institute for Sea Research (NIOZ)</t>
  </si>
  <si>
    <t>Univ Bremen, Dept Tracer Oceanog, FB1,1UP,POB 330440, D-28334 Bremen, Germany.</t>
  </si>
  <si>
    <t>hoppema@physik.uni-bremen.de; efahrbach@awi-bremerhaven.de; debaar@nioz.nl</t>
  </si>
  <si>
    <t>10.1029/2000JC000257</t>
  </si>
  <si>
    <t>WOS:000087153000009</t>
  </si>
  <si>
    <t>Fry, TK</t>
  </si>
  <si>
    <t>Let heroes speak: Antarctic explorers, 1772-1922.</t>
  </si>
  <si>
    <t>Univ Denver Lib, Denver, CO 80208 USA</t>
  </si>
  <si>
    <t>Fry, TK (corresponding author), Univ Denver Lib, Denver, CO 80208 USA.</t>
  </si>
  <si>
    <t>312YR</t>
  </si>
  <si>
    <t>WOS:000086972000203</t>
  </si>
  <si>
    <t>Bart, PJ; Anderson, JB; Trincardi, F; Shipp, SS</t>
  </si>
  <si>
    <t>Seismic data from the Northern basin, Ross Sea, record extreme expansions of the East Antarctic Ice Sheet during the late Neogene</t>
  </si>
  <si>
    <t>Antarctica; Ross Sea; Ice Sheet; glaciation</t>
  </si>
  <si>
    <t>TROUGH-MOUTH FAN; GLACIAL HISTORY; CONTINENTAL-MARGIN; WEDDELL SEA; SHELF; SEDIMENTATION; PALEOCLIMATE; EMBAYMENT; DEPOSITS; VOLUME</t>
  </si>
  <si>
    <t>Approximately 3700 km of intermediate-resolution single-channel seismic data from the Northern basin were analyzed to investigate the late Neogene history of East Antarctic Ice Sheet (EAIS) grounding events on the shelf, and to evaluate how glacial unconformities on the shelf are manifested on the upper slope. The Northern basin was chosen as the site of this study because ice-sheet reconstructions show that the basin received sediment by ice emanating from East Antarctica. In addition, seismic correlations to DSDP Site 273 suggest that a relatively thick late Neogene section exists on the basin's outer shelf and upper slope. On the Northern basin shelf, glacial unconformities exhibiting broad, low-angle relief, topset truncation, and cross-cutting relationships reveal a dynamic history of expansions and contractions during which the EAIS was larger than present on at least eight occasions during the late Neogene. On the upper slope, the correlative conformities of the glacial unconformities are indistinct reflections within thick trough-mouth fan (TMF) depocenters at the mouths of Drygalsky and Joides basins. The glacial unconformities and correlative conformities define TMF sequences, and each TMF sequence contains several topset-truncated prograding-slope reflectors. We infer that the correlative conformities on the continental slope correspond to the interface between prograding glaciogenic deposits (glacial maximum) and diatomaceous glacial-marine sediments (glacial minimum). The seismic-stratigraphic analysis and regional mapping indicate that the upper slope does not contain a more complete late Neogene section than that which exists on the shelf. We infer that diatomaceous glacial-marine sediments on the slope may be relatively undisturbed. and hence may provide a means of dating the TMF sequences. It is hoped that these results will stimulate efforts to core the late Neogene section in the Northern basin TMFs to investigate how these EAIS expansions and contractions relate to other records of late Neogene climate and eustasy. (C) 2000 Elsevier Science B.V. All rights reserved.</t>
  </si>
  <si>
    <t>Louisiana State Univ, Dept Geol &amp; Geophys, Baton Rouge, LA 70803 USA; Rice Univ, Dept Geol &amp; Geophys, Houston, TX 77251 USA; Ist Geol Marina, I-40127 Bologna, Italy</t>
  </si>
  <si>
    <t>Louisiana State University System; Louisiana State University; Rice University; Consiglio Nazionale delle Ricerche (CNR); Istituto di Scienze Marine (ISMAR-CNR)</t>
  </si>
  <si>
    <t>pbart@unix1.sncc.1su.edu</t>
  </si>
  <si>
    <t>Trincardi, Fabio/0009-0003-7078-1631; Trincardi, Fabio/0000-0002-8476-8804</t>
  </si>
  <si>
    <t>10.1016/S0025-3227(00)00006-2</t>
  </si>
  <si>
    <t>317WY</t>
  </si>
  <si>
    <t>WOS:000087251000003</t>
  </si>
  <si>
    <t>Galindo-Zaldívar, J; Jabaloy, A; Maldonado, A; Martínez-Martínez, JM; de Galdeano, CS; Somoza, L; Surinach, E</t>
  </si>
  <si>
    <t>Deep crustal structure of the area of intersection between the Shackleton Fracture Zone and the West Scotia Ridge (Drake Passage, Antarctica)</t>
  </si>
  <si>
    <t>Antarctica; deep crustal structure; Shackleton Fracture Zone; West Scotia Ridge</t>
  </si>
  <si>
    <t>RELATIVE PLATE MOTIONS; TRANSFORM FAULT; OCEANIC-CRUST; SEA; TECTONICS; GRAVITY; PENINSULA; BOUNDARY; PACIFIC; ISLANDS</t>
  </si>
  <si>
    <t>The Shackleton Fracture Zone, which forms the boundary between the Antarctic and Scotia plates in the Drake Passage, is characterized by a present-day left-lateral motion. The West Scotia Ridge, an extinct spreading centre, formed the oceanic crust of the western Scotia Plate and intersects the Shackleton Fracture Zone in a complex deformed area. Multichannel seismic, gravity, magnetic and multibeam swath bathymetry data were acquired during the ANTPAC 97/98 cruise with the Spanish vessel B/O HESPERIDES in the area of intersection of these two tectonic features. The new data reveal its asymmetrical deep crustal structure, which developed as a consequence of the overprinting of extensional and contractional deformation events, The main seismic features of the crust of the Scotia and Antarctic plates are deep dipping braided reflectors, which may be a consequence of an initial stretching deformation related to the Shackleton Fracture Zone. At present, this fracture zone is characterized by thickened oceanic crust, deformed by reverse and transcurrent faults and locally bounded by areas of crustal thinning, The present morphology of the West Scotia Ridge has the characteristics of slow spreading centres, with a central valley bounded by two elongated highs. However, its structure reveals that after spreading ended, there was a NW-SE contractional deformation event, with a thrust of about 40 km of slip that resulted in asymmetrical crustal thickening. Incipient subduction initiates subparallel to the strike of the spreading centre, This tectonic event may be related to an episode of closure of South America and the Antarctic Peninsula, probably of Pliocene age. We conclude that in oceanic domains, areas with a weak crust (fracture zones and spreading centres) constitute the most sensitive regions for analysing the regional tectonic evolution since deformation events are better recorded there than in normal oceanic crust. (C) 2000 Elsevier Science B.V. All rights reserved.</t>
  </si>
  <si>
    <t>Univ Granada, Dept Geodinam, E-18071 Granada, Spain; Univ Granada, CSIC, Inst Andaluz Ciencias Tierra, E-18071 Granada, Spain; Inst Tecnol Geominero Espana, Madrid 28003, Spain; Univ Barcelona, Dept Geodinam &amp; Geofis, E-08028 Barcelona, Spain</t>
  </si>
  <si>
    <t>University of Granada; Consejo Superior de Investigaciones Cientificas (CSIC); CSIC - Instituto Andaluz de Ciencias de la Tierra (IACT); University of Granada; University of Barcelona</t>
  </si>
  <si>
    <t>Galindo-Zaldívar, J (corresponding author), Univ Granada, Dept Geodinam, E-18071 Granada, Spain.</t>
  </si>
  <si>
    <t>Galindo-Zaldivar, Jesus/K-3640-2012; Surinach, Emma/C-5896-2008; JABALOY SANCHEZ, ANTONIO/L-2955-2014; Somoza, Luis/C-1400-2010</t>
  </si>
  <si>
    <t>Galindo-Zaldivar, Jesus/0000-0002-3493-2637; JABALOY SANCHEZ, ANTONIO/0000-0001-5830-5913; Somoza, Luis/0000-0001-5451-2288; Martinez Martinez, Jose Miguel/0000-0002-8178-0904</t>
  </si>
  <si>
    <t>10.1016/S0040-1951(00)00051-2</t>
  </si>
  <si>
    <t>318FT</t>
  </si>
  <si>
    <t>WOS:000087273800003</t>
  </si>
  <si>
    <t>Stoddart, M</t>
  </si>
  <si>
    <t>Jacobson's organ: And the remarkable nature of smell</t>
  </si>
  <si>
    <t>Stoddart, M (corresponding author), Australian Antarctic Div, Channel Highway, Kingston, Tas 7050, Australia.</t>
  </si>
  <si>
    <t>MACMILLAN MAGAZINES LTD</t>
  </si>
  <si>
    <t>MAY 11</t>
  </si>
  <si>
    <t>10.1038/35012124</t>
  </si>
  <si>
    <t>314WG</t>
  </si>
  <si>
    <t>WOS:000087080100025</t>
  </si>
  <si>
    <t>Bailey, D; Whaler, KA; Zengeni, T; Jones, PC; Gwavava, O</t>
  </si>
  <si>
    <t>A magnetotelluric model of the Mana Pools basin, northern Zimbabwe</t>
  </si>
  <si>
    <t>SHEAR ZONES; INVERSION; AFRICA</t>
  </si>
  <si>
    <t>The Mana Pools sedimentary basin lies within the Zambezi mobile belt in northern Zimbabwe. New and preexisting magnetotelluric data and the available seismic reflection data are used to constrain the basin structure and the depth to the electrical basement. Long-period magnetotelluric (LMT) data were collected at five stations along a 60 km north-south profile across the Mana Pools basin and onto the southern escarpment. These data augment an existing audio:Frequency (AMT) data set from 11 sites in the same area. The subsurface apparent resistivities measured at periods sampling the basin are very low (a few Omega m). After processing both data sets, the estimated impedance tensor is decomposed, showing that the resistivity structure of the Mana Pools basin can be modeled two dimensionally. The rho(+) algorithm is used to show that there is no systematic offset in magnitude between the AMT and LMT data sets before they are combined. Minimum structure resistivity models of the Mana Pools basin compare well with the information from reflection seismic data and support its previous description as a half graben basin of similar to 7 km depth. The excellent conductor in the Mana Pools basin is quite different to those seen elsewhere in the orogenic belt in that it is a feature of the sedimentary fill rather than the basement. The resistivity of the basement is low but no localized good conductor is observed; these low resistivities may result from a high degree of either chemical or tectonic alteration to the underlying rocks due to metamorphic processes and tectonic disruption during rift formation.</t>
  </si>
  <si>
    <t>Univ Edinburgh, Grant Inst, Edinburgh EH9 3JW, Midlothian, Scotland; Univ Zimbabwe, Dept Phys, Harare, Zimbabwe; British Antarctic Survey, Cambridge CB3 0ET, England</t>
  </si>
  <si>
    <t>University of Edinburgh; University of Zimbabwe; UK Research &amp; Innovation (UKRI); Natural Environment Research Council (NERC); NERC British Antarctic Survey</t>
  </si>
  <si>
    <t>Bailey, D (corresponding author), Univ Edinburgh, Grant Inst, W Mains Rd, Edinburgh EH9 3JW, Midlothian, Scotland.</t>
  </si>
  <si>
    <t>kathy.whaler@ed.ac.uk</t>
  </si>
  <si>
    <t>Whaler, Kathy/AAG-1162-2020</t>
  </si>
  <si>
    <t>Whaler, Kathy/0000-0002-7386-223X; Bailey, David/0000-0001-9769-4077</t>
  </si>
  <si>
    <t>MAY 10</t>
  </si>
  <si>
    <t>B5</t>
  </si>
  <si>
    <t>10.1029/1999JB900434</t>
  </si>
  <si>
    <t>313YM</t>
  </si>
  <si>
    <t>WOS:000087027400025</t>
  </si>
  <si>
    <t>McNamara, JP; Tresadern, G; Hillier, IH</t>
  </si>
  <si>
    <t>Exploration of the mechanism of the activation of ClONO2 by HCl in small water clusters using electronic structure methods</t>
  </si>
  <si>
    <t>MONTE-CARLO SIMULATIONS; CHLORINE NITRATE; AB-INITIO; HETEROGENEOUS REACTIONS; HYDROGEN-CHLORIDE; ANTARCTIC OZONE; NITRIC-ACID; STRATOSPHERIC CHEMISTRY; SULFURIC-ACID; ICE SURFACES</t>
  </si>
  <si>
    <t>High-level electronic structure calculations were used to study the mechanism of the reaction of ClONO2 with HCl in neutral water clusters containing one to five solvating water molecules. For the reaction between molecular HCl and ClONO2, the barrier decreases from 42 kcal mol(-1) (uncatalyzed) to essentially zero when catalyzed by only two water molecules, where the reaction products involve Cl-2 and HONO2. The calculations thus predict that the gas-phase reaction may be important in the stratospheric reactivation of ClONO2. The reaction between ClONO2 and solvated H3O+Cl-, as on the polar stratospheric cloud (PSC) surface, was investigated with clusters involving up to seven water molecules. The ice-catalyzed reaction involves an ionic mechanism whereby charge transfer to ClONO2 from the attacking nucleophile leads to significant ionization along the Cl-ONO2 bond. The effect of the size of the first solvation shell of Cl- is addressed by our calculations. In a cluster containing three waters and a five-water cluster structurally related to hexagonal ice, ClONO2 reacts spontaneously with HCl to yield Cl-2/HONO2 in the three-water reaction and Cl-2/H3O+-NO3- in the five-water-catalyzed reaction. The calculations thus predict that the reaction of ClONO2 with HCl on PSC ice aerosols can proceed spontaneously via an ionic pathway.</t>
  </si>
  <si>
    <t>Hillier, IH (corresponding author), Univ Manchester, Dept Chem, Manchester M13 9PL, Lancs, England.</t>
  </si>
  <si>
    <t>Tresadern, Gary/0000-0002-4801-1644</t>
  </si>
  <si>
    <t>MAY 4</t>
  </si>
  <si>
    <t>10.1021/jp9932261</t>
  </si>
  <si>
    <t>311EY</t>
  </si>
  <si>
    <t>WOS:000086872800024</t>
  </si>
  <si>
    <t>Darling, KF; Wade, CM; Stewart, IA; Kroon, D; Dingle, R; Brown, AJL</t>
  </si>
  <si>
    <t>Molecular evidence for genetic mixing of Arctic and Antarctic subpolar populations of planktonic foraminifers</t>
  </si>
  <si>
    <t>CRYPTIC SPECIATION; FOSSIL RECORD; EVOLUTION; TEMPERATURE; RATES; SEA; PHYLOGENY; SEQUENCES; BINDIN; OCEAN</t>
  </si>
  <si>
    <t>Bipolarity, the presence of a species in the high latitudes separated by a gap in distribution across the tropics, is a well-known pattern of global species distribution. But the question of whether bipolar species have evolved independently at the poles since the establishment of the cold-water provinces 16-8 million years ago, or if genes have been transferred across the tropics since that time, has not been addressed. Here we examine genetic variation in the small subunit ribosomal RNA gene of three bipolar planktonic foraminiferal morphospecies. We identify at least one identical genotype in all three morphospecies in both the Arctic and Antarctic subpolar provinces, indicating that trans-tropical gene flow must have occurred. Our genetic analysis also reveals that foraminiferal morphospecies can consist of a complex of genetic types. Such occurrences of genetically distinct populations within one morphospecies may affect the use of planktonic foraminifers as a palaeoceanographic proxy for climate change and necessitate a reassessment of the species concept for the group.</t>
  </si>
  <si>
    <t>Univ Edinburgh, Dept Geol &amp; Geophys, Edinburgh EH9 3JW, Midlothian, Scotland; Univ Edinburgh, Inst Cell Anim &amp; Populat Biol, Edinburgh EH9 3JT, Midlothian, Scotland; Univ Nottingham, Inst Genet, Nottingham NG7 2UH, England; British Antarctic Survey, Cambridge CB3 0ET, England</t>
  </si>
  <si>
    <t>University of Edinburgh; University of Edinburgh; University of Nottingham; UK Research &amp; Innovation (UKRI); Natural Environment Research Council (NERC); NERC British Antarctic Survey</t>
  </si>
  <si>
    <t>Darling, KF (corresponding author), Univ Edinburgh, Dept Geol &amp; Geophys, Edinburgh EH9 3JW, Midlothian, Scotland.</t>
  </si>
  <si>
    <t>Brown, Alison/IRZ-7107-2023; Leigh Brown, Andrew/F-3802-2010; Brown, Andrew Leigh/ABF-8269-2020</t>
  </si>
  <si>
    <t>Brown, Andrew Leigh/0000-0002-5700-3128; Wade, Christopher/0000-0002-1269-9694</t>
  </si>
  <si>
    <t>10.1038/35011002</t>
  </si>
  <si>
    <t>311TK</t>
  </si>
  <si>
    <t>WOS:000086901600044</t>
  </si>
  <si>
    <t>Papadakis, I; Quétel, CR; Taylor, PDP; De Bièvre, P</t>
  </si>
  <si>
    <t>Contribution to the certification of cadmium and lead amount content in the BCR CRM-278R mussel tissue by isotope dilution mass spectrometry</t>
  </si>
  <si>
    <t>ACCREDITATION AND QUALITY ASSURANCE</t>
  </si>
  <si>
    <t>IDMS; traceability; mussel tissue; chemical metrology; primary methods of measurement; cadmium; lead</t>
  </si>
  <si>
    <t>CANDIDATE REFERENCE MATERIAL; SI-TRACEABLE VALUES; ANTARCTIC SEDIMENT</t>
  </si>
  <si>
    <t>Metrological certification through a primary method of measurement and how it can be achieved is demonstrated in this paper, using the example of re-certification of cadmium and lead content in a biological material, the Bureau Communataire de Reference, reference material CRM-278R mussel tissue, The measurement method used was isotope dilution in combination with inductively coupled plasma mass spectrometry. Microwave digestion was applied to the samples prior to the measurements. A detailed uncertainty budget was evaluated according to the International Organisation of Standardisation, Guide to the Expression of Uncertainty and EURACHEM Guide, resulting in an expanded uncertainty.</t>
  </si>
  <si>
    <t>European Commiss Joint Res Ctr, Inst Reference Mat &amp; Measurements, B-2440 Geel, Belgium</t>
  </si>
  <si>
    <t>European Commission Joint Research Centre; EC JRC Institute for Reference Materials &amp; Measurements (IRMM)</t>
  </si>
  <si>
    <t>Papadakis, I (corresponding author), European Commiss Joint Res Ctr, Inst Reference Mat &amp; Measurements, B-2440 Geel, Belgium.</t>
  </si>
  <si>
    <t>ioannis.papadakis@irmm.jrc.be</t>
  </si>
  <si>
    <t>0949-1775</t>
  </si>
  <si>
    <t>1432-0517</t>
  </si>
  <si>
    <t>ACCREDIT QUAL ASSUR</t>
  </si>
  <si>
    <t>Accredit. Qual. Assur.</t>
  </si>
  <si>
    <t>MAY</t>
  </si>
  <si>
    <t>10.1007/s007690050443</t>
  </si>
  <si>
    <t>Chemistry, Analytical; Instruments &amp; Instrumentation</t>
  </si>
  <si>
    <t>Chemistry; Instruments &amp; Instrumentation</t>
  </si>
  <si>
    <t>320CQ</t>
  </si>
  <si>
    <t>WOS:000087384100006</t>
  </si>
  <si>
    <t>Lepri, L; Del Bubba, M; Masi, F; Udisti, R; Cini, R</t>
  </si>
  <si>
    <t>Particle size distribution of organic compounds in aqueous aerosols collected from above sewage aeration tanks</t>
  </si>
  <si>
    <t>AEROSOL SCIENCE AND TECHNOLOGY</t>
  </si>
  <si>
    <t>POLYCYCLIC AROMATIC-HYDROCARBONS; MARINE AEROSOL; ANTARCTIC ENVIRONMENT; ATOMIC SPECTROMETRY; COASTAL VEGETATION; PARTICULATE MATTER; AIR/SEA INTERFACE; URBAN ATMOSPHERE; SAN-ROSSORE; SEA</t>
  </si>
  <si>
    <t>Several classes of organic compounds were analyzed in aqueous aerosols collected in June, November, and December 1996 from above the sewage aeration tanks of a treatment plant (Prato, Italy), Particle size distribution of organic compounds and their enrichment ratio (E(r)) with respect to the magnesium ion were determined to infer the extent to which various species were aerosolized, Organic components were found to be predominantly enriched in fine and large particles of the aerosol and their transfer may be attributed to the 1) adsorption of surfactant organic matter at the air/water interface (such phenomenon is particularly evident for the fine and ultra-fine fractions) and 2) flotation of colloidal matter from wastewater to the largest particles with consequent transport of the adsorbed organic compounds. In addition, the interaction of surfactants with hydrophobic compounds explained the enrichment of the latter in the finest fractions.</t>
  </si>
  <si>
    <t>Univ Florence, Dept Publ Hlth Epidemiol &amp; Environm Analyt Chem, I-50121 Florence, Italy; Univ Calabria, Dept Chem, I-87030 Cosenza, Italy; Univ Florence, Dept Organ Chem, Lab Tech Phys Chem, I-50121 Florence, Italy</t>
  </si>
  <si>
    <t>University of Florence; University of Calabria; University of Florence</t>
  </si>
  <si>
    <t>Lepri, L (corresponding author), Univ Florence, Dept Publ Hlth Epidemiol &amp; Environm Analyt Chem, Via G Capponi 9, I-50121 Florence, Italy.</t>
  </si>
  <si>
    <t>Masi, Fabio/H-3643-2019; Udisti, Roberto/M-7966-2015</t>
  </si>
  <si>
    <t>Masi, Fabio/0000-0002-2305-9035; Udisti, Roberto/0000-0003-4440-8238; Becagli, Silvia/0000-0003-3633-4849</t>
  </si>
  <si>
    <t>0278-6826</t>
  </si>
  <si>
    <t>AEROSOL SCI TECH</t>
  </si>
  <si>
    <t>Aerosol Sci. Technol.</t>
  </si>
  <si>
    <t>10.1080/027868200303542</t>
  </si>
  <si>
    <t>Engineering, Chemical; Engineering, Mechanical; Environmental Sciences; Meteorology &amp; Atmospheric Sciences</t>
  </si>
  <si>
    <t>Engineering; Environmental Sciences &amp; Ecology; Meteorology &amp; Atmospheric Sciences</t>
  </si>
  <si>
    <t>307UJ</t>
  </si>
  <si>
    <t>WOS:000086672300002</t>
  </si>
  <si>
    <t>Xiong, FSS; Mueller, EC; Day, TA</t>
  </si>
  <si>
    <t>Photosynthetic and respiratory acclimation and growth response of antarctic vascular plants to contrasting temperature regimes</t>
  </si>
  <si>
    <t>AMERICAN JOURNAL OF BOTANY</t>
  </si>
  <si>
    <t>Antarctica; Colobanthus quitensis; Deschampsia antarctica; growth; photosynthesis; respiration; temperature; warming</t>
  </si>
  <si>
    <t>DIVERSE ALTITUDINAL RANGES; CARBON-DIOXIDE EXCHANGE; LEAF DARK RESPIRATION; COLOBANTHUS-QUITENSIS; PENINSULA; AREA; FIELD; ADAPTATION; POPULATION; EXTENSION</t>
  </si>
  <si>
    <t>Air temperatures have risen over the past 50 yr along the Antarctic Peninsula, and it is unclear what impact this is having on Antarctic plants. We examined the growth response of the Antarctic vascular plants Colobanthus quitensis (Caryophyllaceae) and Deschampsia antarctica (Poaceae) to temperature and also assessed their ability for thermal acclimation, in terms of whole-canopy net photosynthesis (P-n) and dark respiration (R-d), by growing plants for 90 d under three contrasting temperature regimes: 7 degrees C day/7 degrees C night, 17 degrees C day/7 degrees C night, and 20 degrees C day/7 degrees C night (18 h/6 h). These daytime temperatures represent suboptimal (7 degrees C), near-optimal (12 degrees C), and supraoptimal (70 degrees C) temperatures for P-n based on field measurements at the collection site near Palmer Station along the west coast of the Antarctic Peninsula. Plants of both species grown at a daytime temperature of 20 degrees C had greater RGR (relative growth rate) and produced 2.2-3.3 times as much total biomass as plants grown at daytime temperatures of 12 degrees or 7 degrees C. Plants frown at 20 degrees C also produced 2.0-4.1 times as many leaves, 3.4-5.5 times as much total leaf area, and had 1.5-1.6 times the LAR (leaf area ratio; leaf area:total biomass) and 1.1-1.4 times the LMR (leaf mass ratio; leaf mass:total biomass) of plants grown at 12 degrees or 7 degrees C. Greater RGR and biomass production at 20 degrees C appeared primarily due to greater biomass allocation to leaf production in these plants. Rates of P-n (leaf-area basis), when measured at their respective daytime growth temperatures, were highest in plants Brown at 12 degrees C, and rates of plants grown at 20 degrees C were only 58 (C. quitensis) or 64% (D. antarctica) of the rates in plants grown at 12 degrees C. Thus, lower P-n per leaf area in plants grown at 20 degrees C was more than offset by much greater leaf-area production. Rates of whole-canopy P-n (per plant), when measured at their respective daytime growth temperatures, were highest in plants grown at 20 degrees C, and appeared well correlated with differences in RGR and total biomass among treatments. Colonbanthus quitensis exhibited only a slight ability for relative acclimation of P-n (leaf-area basis) as the optimal temperature for P-n increased from 8.4 degrees to 10.3 degrees to 11.5 degrees C as daytime growth temperatures increased from 7 degrees to 12 degrees to 20 degrees C. There was no evidence for relative acclimation of P-n in D. antarctica, as plants grown at all three temperature regimes had a similar optimal temperature (10 degrees C) for P-n. There was no evidence for absolute acclimation of P-n in either species, as rates of P-n in plants grown at a daytime temperature of 12 degrees C were higher than those of plants grown at daytime telnperaturcs of 7 degrees or 20 degrees C, when measured at their respective growth temperatures. The poor ability for photosynthetic acclimation in these species may be associated with the relatively stable maritime temperature regime during the growing season along the Peninsula. In contrast to P-n, both species exhibited full acclimation of R-d, and rates of R-d on a leaf-area basis were similar among treatments when measured at their respective daytime growth temperature. Our results suggest that in the absence of interspecific competition, continued warming along the Peninsula will lead to improved vegetative growth of these species due to (1) greater biomass allocation to leaf-area production (as opposed to improved rates of P-n per leaf area) and (2) their ability to acclimate R-d, such that respiratory losses per leaf area do not increase under higher temperature regimes.</t>
  </si>
  <si>
    <t>Arizona State Univ, Dept Plant Biol, Tempe, AZ 85287 USA.</t>
  </si>
  <si>
    <t>tadday@asu.edu</t>
  </si>
  <si>
    <t>0002-9122</t>
  </si>
  <si>
    <t>1537-2197</t>
  </si>
  <si>
    <t>AM J BOT</t>
  </si>
  <si>
    <t>Am. J. Bot.</t>
  </si>
  <si>
    <t>10.2307/2656856</t>
  </si>
  <si>
    <t>315NW</t>
  </si>
  <si>
    <t>WOS:000087120700011</t>
  </si>
  <si>
    <t>Coleman, IJ; Pinnock, M; Rodger, AS</t>
  </si>
  <si>
    <t>The ionospheric footprint of antiparallel merging regions on the dayside magnetopause</t>
  </si>
  <si>
    <t>ionosphere (ionosphere-magnetosphere; interactions); magnetospheric physics (magnetopause, cusp and boundary layers; magnetosphere-ionosphere interactions)</t>
  </si>
  <si>
    <t>INTERPLANETARY MAGNETIC-FIELD; FLUX-TRANSFER EVENTS; BOUNDARY-LAYER; DIPOLE TILT; RECONNECTION; MODEL; CUSP; LATITUDE; MAGNETOSHEATH; MAGNETOSPHERE</t>
  </si>
  <si>
    <t>The antiparallel merging hypothesis states that reconnection takes place on the dayside magnetopause where the solar and geomagnetic fields are oppositely directed. With this criterion, we have mapped the predicted merging regions to the ionosphere using the Tsyganenko 96 magnetic field model, distinguishing between regions of sub-Alfvenic and super-Alfevnic magnetosheath flow, and identifying the day-night terminator. We present the resulting shape, width and latitude of the ionospheric dayside merging regions in both hemispheres, showing their dependence on the Earth's dipole tilt. The resulting seasonal variation of the longitudinal width is consistent with the conjugate electric fields in the northern and southern cusps, as measured by the SuperDARN HF radars, for example. We also find a seasonal shift in latitude similar to that observed in satellite cusp data.</t>
  </si>
  <si>
    <t>Coleman, IJ (corresponding author), British Antarctic Survey, Madingley Rd, Cambridge CB3 0ET, England.</t>
  </si>
  <si>
    <t>10.1007/s00585-000-0511-2</t>
  </si>
  <si>
    <t>329AM</t>
  </si>
  <si>
    <t>gold, Green Accepted, Green Submitted</t>
  </si>
  <si>
    <t>WOS:000087884000001</t>
  </si>
  <si>
    <t>Massana, R; DeLong, EF; Pedrós-Alió, C</t>
  </si>
  <si>
    <t>A few cosmopolitan phylotypes dominate planktonic archaeal assemblages in widely different oceanic provinces</t>
  </si>
  <si>
    <t>RIBOSOMAL-RNA GENES; PHYLOGENETIC ANALYSIS; DEEP-SEA; KINGDOM CRENARCHAEOTA; MICROBIAL DIVERSITY; MARINE PLANKTON; MOLECULAR VIEW; SEQUENCES; BACTERIAL; COMMUNITIES</t>
  </si>
  <si>
    <t>We compared the phylogenetic compositions of marine planktonic archaeal populations in different marine provinces. Samples from eight different environments were collected at two depths (surface and aphotic zone), and 16 genetic libraries of PCR-amplified archaeal 16S rRNA genes were constructed. The libraries were analyzed by using a three-step hierarchical approach, Membrane hybridization experiments revealed that most of the archaeal clones were affiliated with one of the two groups of marine archaea described previously, crenarchaeotal group I and euryarchaeotal group II. One of the 2,328 ribosomal DNA clones analyzed was related to a different euryarchaeal lineage, which was recently recovered from deep-water marine plankton. In temperate regions (Pacific Ocean, Atlantic Ocean, and Mediterranean Sea) both major groups were found at the two depths investigated; group II predominated at the surface, and group I predominated at depth. In Antarctic and subantarctic waters group II was practically absent. The clonal compositions of archaeal libraries were investigated by performing a restriction fragment length polymorphism (RFLP) analysis with two tetrameric restriction enzymes, which defined discrete operational taxonomic units (OTUs). The OTUs defined in this was were phylogenetically consistent; clones belonging to the same OTU were closely related. The clonal diversity as determined by the RFLP analysis was low, and most libraries were dominated by only one or two OUs. Some OTUs were found in samples obtained from very distant places, indicating that some phylotypes were ubiquitous. A tree containing one example of each OTU detected was constructed, and this tree revealed that there were several clusters within archaeal group I and group II. The members of some of these clusters had different depth distributions.</t>
  </si>
  <si>
    <t>CSIC, Inst Ciencies Mar, E-08039 Barcelona, Catalunya, Spain; Monterey Bay Aquarium Res Inst, Moss Landing, CA 95039 USA</t>
  </si>
  <si>
    <t>Consejo Superior de Investigaciones Cientificas (CSIC); CSIC - Centro Mediterraneo de Investigaciones Marinas y Ambientales (CMIMA); CSIC - Instituto de Ciencias del Mar (ICM); Monterey Bay Aquarium Research Institute</t>
  </si>
  <si>
    <t>Massana, R (corresponding author), CSIC, Inst Ciencies Mar, Passieg Joan De Borbo S-N, E-08039 Barcelona, Catalunya, Spain.</t>
  </si>
  <si>
    <t>Massana, Ramon/F-4205-2016; Pedros-Alio, Carlos/H-1222-2011</t>
  </si>
  <si>
    <t>Pedros-Alio, Carlos/0000-0003-1009-4277; Massana, Ramon/0000-0001-9172-5418</t>
  </si>
  <si>
    <t>10.1128/AEM.66.5.1777-1787.2000</t>
  </si>
  <si>
    <t>310BC</t>
  </si>
  <si>
    <t>WOS:000086805500002</t>
  </si>
  <si>
    <t>Regoli, F; Nigro, M; Bompadre, S; Winston, GW</t>
  </si>
  <si>
    <t>Total oxidant scavenging capacity (TOSC) of microsomal and cytosolic fractions from Antarctic, Arctic and Mediterranean scallops: differentiation between three potent oxidants</t>
  </si>
  <si>
    <t>AQUATIC TOXICOLOGY</t>
  </si>
  <si>
    <t>Adamussium colbecki; antioxidant defences; biomarkers; total antioxidant capacity; oxidative stress; reactive oxygen species</t>
  </si>
  <si>
    <t>ANTIOXIDANT DEFENSE SYSTEMS; MUSSEL MYTILUS-EDULIS; LIPID-PEROXIDATION; DIGESTIVE GLAND; ADAMUSSIUM-COLBECKI; OXIDATIVE STRESS; MARINE-INVERTEBRATES; HYDROXYL RADICALS; ORGANIC POLLUTION; AQUATIC ANIMALS</t>
  </si>
  <si>
    <t>The enhanced formation of reactive oxygen species (ROS) is a common pathway of toxicity induced by stressful environmental conditions. In polar environments, characterization of antioxidant defences in key sentinel species may be of particular value as early detection biomarkers of unforeseen effects of human activities which are progressively increasing in these remote areas. The complexities associated with predicting the consequences at the 'organism level' of variations of specific antioxidant defences have been recently overcome by the ability to quantify an index of specific biological resistance to various kinds of ROS. The total oxyradical scavenging capacity (TOSC) assay has been used in three species of scallops for quantifying their ability to neutralize peroxyl (ROO.) and hydroxyl ((OH)-O-.) radicals and peroxynitrite (HOONO). Adamussium colbecki and Chlamys islandicus represent key organisms for monitoring Antarctic and Arctic regions while Pecten jacobaeus was chosen for a comparison with a related temperate species. TOSC values for ROO. were significantly higher in A. colbecki indicating this species as the most efficient scavenger of ROO.. Mediterranean scallops had the lowest TOSC for ROO.. A. colbecki also exhibited the highest scavenging capacity for (OH)-O-. with values more than 2-fold greater than for C. islandicus and P. jacobaeus. TOSC for HOONO was lower for all scallops as compared to those for ROO. or (OH)-O-.. TOSC for microsomes was not significantly different among the species for any ROS studied, and the percentage contribution to the specific TOSC for the various oxidants of microsomes of all scallops accounted for 1-3% of the total TOSC of the post-mitochondrial fraction. The specific TOSC of scallop microsomes for (OH)-O-. was approximately ten times lower than that for ROO. or HOONO. The higher basal capability of the Antarctic scallop to neutralize different reactive oxygen species is discussed in terms of a possible adaptation to this extreme environment and TOSC is validated as a quantifiable measure of susceptibility to oxidative stress in marine organisms. (C) 2000 Elsevier Science B.V. All rights reserved.</t>
  </si>
  <si>
    <t>Univ Ancona, Ist Biol &amp; Genet, I-60100 Ancona, Italy; Univ Pisa, Dipartimento Morfol Umana &amp; Biol Applicata, Pisa, Italy; Univ Ancona, Ist Sci Biomed, Ancona, Italy; N Carolina State Univ, Dept Toxicol, Raleigh, NC 27695 USA</t>
  </si>
  <si>
    <t>Marche Polytechnic University; University of Pisa; Marche Polytechnic University; North Carolina State University</t>
  </si>
  <si>
    <t>Regoli, F (corresponding author), Univ Ancona, Ist Biol &amp; Genet, Via Ranieri Monte dAgo, I-60100 Ancona, Italy.</t>
  </si>
  <si>
    <t>Regoli, Francesco/K-2719-2018</t>
  </si>
  <si>
    <t>Regoli, Francesco/0000-0001-6084-6188</t>
  </si>
  <si>
    <t>0166-445X</t>
  </si>
  <si>
    <t>AQUAT TOXICOL</t>
  </si>
  <si>
    <t>Aquat. Toxicol.</t>
  </si>
  <si>
    <t>10.1016/S0166-445X(99)00070-3</t>
  </si>
  <si>
    <t>Marine &amp; Freshwater Biology; Toxicology</t>
  </si>
  <si>
    <t>318FK</t>
  </si>
  <si>
    <t>WOS:000087273100002</t>
  </si>
  <si>
    <t>Duquesne, S; Riddle, M; Schulz, R; Liess, M</t>
  </si>
  <si>
    <t>Effects of contaminants in the Antarctic environment -: potential of the gammarid amphipod crustacean Paramorea walkeri as a biological indicator for Antarctic ecosystems based on toxicity and bioaccumulation of copper and cadmium</t>
  </si>
  <si>
    <t>Antarctic; gammarid; heavy metal; exposure; toxicity; bioaccumulation; prediction; biological indicator</t>
  </si>
  <si>
    <t>SCALLOP ADAMUSSIUM-COLBECKI; GREENLAND SEA COPEPOD; BAY ROSS SEA; METAL ACCUMULATION; AQUATIC ORGANISMS; TRACE-METALS; BOARD SHIP; PULEX L; ZINC; TEMPERATURE</t>
  </si>
  <si>
    <t>This study provides information on LC(50) toxicity tests and bioaccumulation of heavy metals in the nearshore Antarctic gammarid, Paramorea walkeri. The 4 day LC(50) values were 970 mu g/l for copper and 670 mu g/l for cadmium. Net uptake rates and bioconcentration factors of these elements were determined under laboratory conditions. After 12 days of exposure to 30 mu g/l, the net uptake rates were 5.2 and 0.78 mu g/g per day and the bioconcentration factors mere 2080 and 311 for copper and cadmium, respectively. The body concentrations of copper were significantly correlated with the concentrations of this element in the water. Accumulation of copper and cadmium continued for the entire exposure suggesting that heavy metals concentrations were not regulated to constant concentrations in the body. Using literature data about two compartments (water-animal) first-order kinetic models, a very good agreement was found between body concentrations observed after exposure and model predicted. Exposure of P. walkeri to mixtures of copper and cadmium showed that accumulation of these elements can be assessed by addition of results obtained from single exposure, with only a small degree of uncertainty. The study provides information on the sensitivity of one Antarctic species towards contaminants, and the results were compared with data of similar species from lower latitudes. An important finding is that sensitivity to toxic chemicals and toxicokinetic parameters in the species investigated are comparable with those of non-polar species. The characteristics of bioaccumulation demonstrate that P. walkeri is a circumpolar species with the potential to be a standard biological indicator for use in monitoring programmes of Antarctic nearshore ecosystems. The use of model prediction provide further support to utilise these organisms for biomonitoring. (C) 2000 Elsevier Science B.V. All rights reserved.</t>
  </si>
  <si>
    <t>Univ Queensland, Natl Res Ctr Environm Toxicol, Coopers Plains, Qld 4108, Australia; Australian Antarctic Div, Kingston, Tas 7050, Australia; Tech Univ Carolo Wilhelmina Braunschweig, Dept Zool, D-38092 Braunschweig, Germany</t>
  </si>
  <si>
    <t>University of Queensland; Australian Antarctic Division; Braunschweig University of Technology</t>
  </si>
  <si>
    <t>Duquesne, S (corresponding author), Univ Queensland, Natl Res Ctr Environm Toxicol, 39 Kessels Rd, Coopers Plains, Qld 4108, Australia.</t>
  </si>
  <si>
    <t>s.duquesne@tu-bs.de</t>
  </si>
  <si>
    <t>Schulz, Ralf/ABI-4526-2020; Liess, Matthias/A-8582-2009; Duquesne, Sabine/H-5575-2011; Schulz, Ralf/G-3674-2011</t>
  </si>
  <si>
    <t>Schulz, Ralf/0000-0002-6348-6971; Liess, Matthias/0000-0002-3321-8909; Duquesne, Sabine/0000-0001-9874-8540</t>
  </si>
  <si>
    <t>10.1016/S0166-445X(99)00067-3</t>
  </si>
  <si>
    <t>WOS:000087273100011</t>
  </si>
  <si>
    <t>Jagannadham, MV; Chattopadhyay, MK; Subbalakshmi, C; Vairamani, M; Narayanan, K; Rao, CM; Shivaji, S</t>
  </si>
  <si>
    <t>Carotenoids of an Antarctic psychrotolerant bacterium, Sphingobacterium antarcticus, and a mesophilic bacterium, Sphingobacterium multivorum</t>
  </si>
  <si>
    <t>ARCHIVES OF MICROBIOLOGY</t>
  </si>
  <si>
    <t>carotenoids; Antarctica; psychrotolerant bacterium; membrane interaction</t>
  </si>
  <si>
    <t>MICROCOCCUS-ROSEUS STRAIN; LIPID-PHASE FLUIDITY; PSYCHROTROPHIC BACTERIUM; SCHIRMACHER OASIS; BETA-CAROTENE; PHOTOACOUSTIC-SPECTROSCOPY; PSEUDOMONAS-SYRINGAE; SYNTHETIC MEMBRANES; ACROSOMAL MEMBRANES; PHOSPHORYLATION</t>
  </si>
  <si>
    <t>The major carotenoid pigments of an Antarctic psychrotolerant bacterium, Sphingobacterium antarcticus, and a mesophilic bacterium, Syhingobacterium multivorum, were identified as zeaxanthin, beta-cryptoxanthin, and beta-carotene. Analysis was based on ultraviolet-visible spectroscopy, mass spectroscopy, and reversed-phase HPLC. Photoacoustic spectroscopy of intact bacterial cells revealed that the bulk of the pigments in S. antarcticus and S. multivorum was associated with the cell membrane. In vitro studies with synthetic membranes of phosphatidylcholine demonstrated that the major pigment was bound to the membranes and decreased their fluidity. The relative amounts of polar pigments were higher in cells grown at 5 degrees C than in cells grown at 25 degrees C. In the mesophilic strain, the synthesis of polar carotenoids was quantitatively less than that of the psychrotolerant strain.</t>
  </si>
  <si>
    <t>Ctr Cellular &amp; Mol Biol, Hyderabad 500007, Andhra Pradesh, India; Indian Inst Chem Technol, Hyderabad 500007, Andhra Pradesh, India</t>
  </si>
  <si>
    <t>Council of Scientific &amp; Industrial Research (CSIR) - India; CSIR - Centre for Cellular &amp; Molecular Biology (CCMB); Council of Scientific &amp; Industrial Research (CSIR) - India; CSIR - Indian Institute of Chemical Technology (IICT)</t>
  </si>
  <si>
    <t>Shivaji, S (corresponding author), Ctr Cellular &amp; Mol Biol, Uppal Rd, Hyderabad 500007, Andhra Pradesh, India.</t>
  </si>
  <si>
    <t>Jagannadham, Medicharla V. V./AAW-6773-2021</t>
  </si>
  <si>
    <t>shivaji, sisinthy/0000-0003-0376-4658; Vairamani, Mariappanadar/0000-0002-8356-6258</t>
  </si>
  <si>
    <t>0302-8933</t>
  </si>
  <si>
    <t>ARCH MICROBIOL</t>
  </si>
  <si>
    <t>Arch. Microbiol.</t>
  </si>
  <si>
    <t>MAY-JUN</t>
  </si>
  <si>
    <t>10.1007/s002030000163</t>
  </si>
  <si>
    <t>328WM</t>
  </si>
  <si>
    <t>WOS:000087874200015</t>
  </si>
  <si>
    <t>Madigan, MT; Jung, DO; Woese, CR; Achenbach, LA</t>
  </si>
  <si>
    <t>Rhodoferax antarcticus sp. nov., a moderately psychrophilic purple nonsulfur bacterium isolated from an Antarctic microbial mat (vol 173, pg 269, 2000)</t>
  </si>
  <si>
    <t>So Illinois Univ, Dept Microbiol, Carbondale, IL 62901 USA; So Illinois Univ, Ctr Systemat Biol, Carbondale, IL 62901 USA; Univ Illinois, Dept Microbiol, Urbana, IL 61801 USA</t>
  </si>
  <si>
    <t>Southern Illinois University System; Southern Illinois University; Southern Illinois University System; Southern Illinois University; University of Illinois System; University of Illinois Urbana-Champaign</t>
  </si>
  <si>
    <t>Madigan, MT (corresponding author), So Illinois Univ, Dept Microbiol, Carbondale, IL 62901 USA.</t>
  </si>
  <si>
    <t>Jung, Deborah/0000-0002-8307-8772</t>
  </si>
  <si>
    <t>10.1007/s002030000168</t>
  </si>
  <si>
    <t>WOS:000087874200019</t>
  </si>
  <si>
    <t>Biondi, F</t>
  </si>
  <si>
    <t>Are climate-tree growth relationships changing in North-Central Idaho, USA?</t>
  </si>
  <si>
    <t>UNITED-STATES; DROUGHT; TEMPERATURE; RINGS; RECONSTRUCTION; PATTERNS; TIME</t>
  </si>
  <si>
    <t>An 861-yr Douglas-fir (Pseudotsuga menziesii [Mirb.] France) tree-ring chronology has been recently developed for the Salmon River Valley, Challis National Forest, Idaho. Its potential for climatic reconstruction is investigated using monthly instrumental records of precipitation, temperature, and Palmer Drought Severity Index from 1895 to 1995. The temporal stability of climate-tree growth relationships is analyzed by means of evolutionary (backward and forward) and moving response functions. When precipitation and temperature are used as predictors, the strongest (and temporally stable) signal is a negative response to July temperature. Another relevant signal, albeit less temporally consistent, is a positive response to May precipitation. When the Palmer Drought Severity Index is used as an integrated predictor to highlight response to summer moisture stress, the strength of the association with tree growth increases in recent decades. This information can be used to maximize the reliability of dendroclimatic reconstructions, and has important implications for expanding the range of recent studies on altered climate-tree growth relationships during the 20th century.</t>
  </si>
  <si>
    <t>fbiondi@ucsd.edu</t>
  </si>
  <si>
    <t>Biondi, Franco/G-2536-2010</t>
  </si>
  <si>
    <t>Biondi, Franco/0000-0003-0651-104X</t>
  </si>
  <si>
    <t>10.2307/1552442</t>
  </si>
  <si>
    <t>322GN</t>
  </si>
  <si>
    <t>WOS:000087502000001</t>
  </si>
  <si>
    <t>Camarero, JJ; Gutiérrez, E; Fortin, MJ</t>
  </si>
  <si>
    <t>Boundary detection in altitudinal treeline ecotones in the Spanish central pyrenees</t>
  </si>
  <si>
    <t>CLIMATIC-CHANGE; ECOLOGICAL BOUNDARIES; ALPINE TREELINE; POPULATIONS; RESPONSES; CANADA; LINE; ESTABLISHMENT; DELINEATION; VEGETATION</t>
  </si>
  <si>
    <t>Spatial identification and description of ecological boundaries is fundamental to better understanding of treeline dynamics. Ecological boundaries across two contrasting subalpine Pinus uncinata forest-alpine grassland ecotones were delineated within the Central Pyrenees (Ordesa and Tesso sites). Boundaries were delineated using an edge detection algorithm for two-dimensional data (lattice-wombling). Tree density, size-structure, growth-form, and estimated age were used to reveal spatial location of boundaries for several size and growth-form tree classes. Overlap statistics were applied to quantify spatial relationships among boundaries determined for different sets of variables. The most significant and consistent boundaries were those for structural variables at the Ordesa site. At this site, the sequential disposition of bigger and unistemmed trees descending across the ecotone produced boundaries for size-structure and growth-form variables. These boundaries were located along an ordered spatial pattern (altitudinal diagonal). At the Tesso site, there were few consistent boundaries, most of which were developed along the slope. Overlap statistics showed that boundaries at the Ordesa site were more spatially related than were those at the Tesso site. This result held when any set of variables was considered. The studied ecotones describe sharp (Ordesa site) and gradual (Tesso site) structural changes in tree populations, related to situations similar to the ecotone and eccocline concepts, respectively. The possible environmental driving factors producing these patterns are the strong winds and reduced snow cover at higher altitudes at the Ordesa site, and snow avalanches at the Tesso site. Boundary detection through time in permanent plots might be a better tool for monitoring climate-change impact in the forest-alpine grassland ecotone than the subjective location of treelines.</t>
  </si>
  <si>
    <t>Univ Barcelona, Dept Ecol, E-08028 Barcelona, Catalunya, Spain; Univ Sherbrooke, Dept Biol, Sherbrooke, PQ J1K 2R1, Canada</t>
  </si>
  <si>
    <t>University of Barcelona; University of Sherbrooke</t>
  </si>
  <si>
    <t>Camarero, JJ (corresponding author), Univ Barcelona, Dept Ecol, Avda Diagonal 645, E-08028 Barcelona, Catalunya, Spain.</t>
  </si>
  <si>
    <t>Gutierrez, Emilia/O-7568-2014; Camarero, J. Julio/A-8602-2013</t>
  </si>
  <si>
    <t>Gutierrez, Emilia/0000-0002-6085-5700; Camarero, J. Julio/0000-0003-2436-2922</t>
  </si>
  <si>
    <t>10.2307/1552443</t>
  </si>
  <si>
    <t>WOS:000087502000002</t>
  </si>
  <si>
    <t>Gustina, GW; Hoffmann, JP</t>
  </si>
  <si>
    <t>Periphyton dynamics in a subalpine mountain stream during winter</t>
  </si>
  <si>
    <t>WOODLAND STREAM; PHOTOSYNTHETIC APPARATUS; PRIMARY PRODUCERS; CHLOROPHYLL-A; P-ENRICHMENT; LEAF LITTER; DISTURBANCE; PHOSPHORUS; ECOSYSTEMS; BIOMASS</t>
  </si>
  <si>
    <t>We conducted two experiments to determine the activity of and factors which control periphyton during winter in Stevensville Brook, Vermont. The first experiment during winter/spring 1994 examined the effect of a 300 to 450% difference in light and doubling of flow (low and high light, slow and fast flow) on periphyton chlorophyll a (chl a) and ash-free dry mass (AFDM) from stream rocks and artificial substrate. A second experiment was performed to determine whether periphyton was nitrogen or phosphorus limited. In addition, stream water was sampled during fall/winter 1994/95 for nitrate (NO3), ammonia (NH4), soluble reactive phosphorus (SRP), and total phosphorus (TP) to determine the availability of nutrients in Stevensville Brook. Increases of up to 250% for AFDM and 600% for chi a during the first study indicated robust activity throughout the winter despite low temperatures and light. Flow had a negative effect and sampling date was found to have a significant effect on periphyton biomass (chl a and AFDM) while light was found to influence increases in AFDM on clay tiles only. Water analyses showed that SRP was less than 0.001 mg L-1, NH4 and TP were low and often undetectable, and NO3 remained at about 0.20 mg L-1. Results from the nutrient enrichment experiment showed a significant response of chi a to P bur not N and no response of AFDM to enrichment with either N or P. In Stevensville Brook during winter, the algal community, as represented by the chi a concentration, is predominantly controlled by phosphorus concentrations and is influenced to a lesser extent by how; the periphyton community as a whole, represented by AFDM, is controlled mostly by stream how and light.</t>
  </si>
  <si>
    <t>Univ Vermont, Dept Bot, Burlington, VT 05405 USA</t>
  </si>
  <si>
    <t>University of Vermont</t>
  </si>
  <si>
    <t>Gustina, GW (corresponding author), Colorado State Univ, USGS BRD, 337 Aylesworth Hall NW, Ft Collins, CO 80523 USA.</t>
  </si>
  <si>
    <t>10.2307/1552444</t>
  </si>
  <si>
    <t>WOS:000087502000003</t>
  </si>
  <si>
    <t>Pepin, N</t>
  </si>
  <si>
    <t>Twentieth-century change in the climate record for the Front Range, Colorado, USA</t>
  </si>
  <si>
    <t>NIWOT RIDGE; TEMPERATURE; MODEL</t>
  </si>
  <si>
    <t>The long-term climate records of the Mountain Research Station (MRS) at the University of Colorado cover a range of elevations from the lower montane forest zone (similar to 2000-2400 m), through the upper montane forest (similar to 2400-2800 m) and subalpine forest (similar to 2800-3300 m) to the alpine tundra (&gt;3300 m) on Niwot Ridge, Colorado. Temperature records from all four MRS sites and the additional high plains site of Longmont (1509 m) are analyzed for the period 1952-1997, after extraction of much extra data from the original thermograph charts. The records are adjusted for instrumental changes where necessary and all four records are judged to be homogenous. Contrasting temporal trends are uncovered at the various elevations with warming at middle elevations and absolute cooling above the treeline in the alpine tundra. The resulting increased surface-based lapse rates do not arise from changes in relative frequencies of airflow types as is shown by a synoptic analysis based on objective airflow indices. Lapse rate increases are most systematic for synoptic classes with westerly components and during fall, winter, and spring. Climate at high elevations of the Front Range appears to be responding in an unusual way to global-warming influences.</t>
  </si>
  <si>
    <t>Univ Portsmouth, Dept Geog, Portsmouth PO1 3HE, Hants, England</t>
  </si>
  <si>
    <t>University of Portsmouth</t>
  </si>
  <si>
    <t>Univ Portsmouth, Dept Geog, Buckingham Bldg,Lion Terrace, Portsmouth PO1 3HE, Hants, England.</t>
  </si>
  <si>
    <t>nicholas.pepin@port.ac.uk</t>
  </si>
  <si>
    <t>Pepin, Nicholas/0000-0001-6200-4937</t>
  </si>
  <si>
    <t>10.2307/1552445</t>
  </si>
  <si>
    <t>WOS:000087502000004</t>
  </si>
  <si>
    <t>Conley, AH; Holland, EA; Seastedt, TR; Parton, WJ</t>
  </si>
  <si>
    <t>Simulation of carbon and nitrogen cycling in on alpine tundra</t>
  </si>
  <si>
    <t>NIWOT RIDGE; TERRESTRIAL ECOSYSTEMS; NUTRIENT AVAILABILITY; ARCTIC TUNDRA; RESPONSES; CLIMATE; COMMUNITIES; COLORADO; SOIL; DYNAMICS</t>
  </si>
  <si>
    <t>Simulations of an alpine tundra ecosystem using the CENTURY ecosystem model were conducted to test model descriptions of carbon and nitrogen cycling and to explore the alpine ecosystem response to physical and chemical components of global change. The parameterization of the alpine tundra for CENTURY was updated to reflect current knowledge of the sire, and sensitivity analyses were conducted. Verification of results from a 6-yr fertilization experiment in the alpine tested the predictive capabilities of the parameterization. Simulations with increased winter precipitation and with the climate predicted under doubled atmospheric carbon dioxide concentrations were then conducted. Modifications to the parameterization necessary to describe carbon and nitrogen cycling included decreasing the C:N ratios of plant tissues, increasing the amount of nitrogen retranslocated at the end of the growingr season, extending the length of the growing season, and lowering the rate of decomposition. The updated parameterization requires 30% greater than observed inputs of net primary productivity to simulate observed levels of total soil carbon suggesting that soil carbon sequestration is not well represented in the model. Carbon and nitrogen cycling showed greatest sensitivity to the length of the growing season and to the temperature regulation of decomposition. Simulation of the nitrogen fertilization experiment resulted in 11% greater productivity than observed empirically, a reasonable verification of the updated parameterization. The major impact from increasing winter precipitation was a 30% increase in the amount of nitrogen in stream flow. Simulation with the climate predicted for a doubling of current carbon dioxide levels reduced production 10% while total soil carbon remained constant. This response was largely controlled by reduced soil moisture during the growing season.</t>
  </si>
  <si>
    <t>Univ Colorado, Dept Environm Populat &amp; Organism Biol, Boulder, CO 80309 USA; Natl Ctr Atmospher Res, Div Atmospher Chem, Boulder, CO 80303 USA; Univ Colorado, Inst Arctic &amp; Alpine Res, Boulder, CO 80309 USA; Univ Colorado, Nat Resource Ecol Lab, Boulder, CO 80309 USA</t>
  </si>
  <si>
    <t>University of Colorado System; University of Colorado Boulder; National Center Atmospheric Research (NCAR) - USA; University of Colorado System; University of Colorado Boulder; University of Colorado System; University of Colorado Boulder</t>
  </si>
  <si>
    <t>NASA, Goddard Space Flight Ctr, SSAI, Code 923, Greenbelt, MD 20771 USA.</t>
  </si>
  <si>
    <t>Alexis.Conley@gsfc.nasa.gov</t>
  </si>
  <si>
    <t>Seastedt, Tim/AAG-1100-2019</t>
  </si>
  <si>
    <t>Holland, Elisabeth Ann/0000-0002-3570-621X</t>
  </si>
  <si>
    <t>10.2307/1552446</t>
  </si>
  <si>
    <t>WOS:000087502000005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</si>
</sst>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79</v>
      </c>
      <c r="U2" t="s">
        <v>80</v>
      </c>
      <c r="V2" t="s">
        <v>81</v>
      </c>
      <c r="W2" t="s">
        <v>82</v>
      </c>
      <c r="X2" t="s">
        <v>83</v>
      </c>
      <c r="Y2" t="s">
        <v>84</v>
      </c>
      <c r="Z2" t="s">
        <v>74</v>
      </c>
      <c r="AA2" t="s">
        <v>74</v>
      </c>
      <c r="AB2" t="s">
        <v>74</v>
      </c>
      <c r="AC2" t="s">
        <v>74</v>
      </c>
      <c r="AD2" t="s">
        <v>74</v>
      </c>
      <c r="AE2" t="s">
        <v>74</v>
      </c>
      <c r="AF2" t="s">
        <v>74</v>
      </c>
      <c r="AG2">
        <v>29</v>
      </c>
      <c r="AH2">
        <v>8</v>
      </c>
      <c r="AI2">
        <v>8</v>
      </c>
      <c r="AJ2">
        <v>0</v>
      </c>
      <c r="AK2">
        <v>7</v>
      </c>
      <c r="AL2" t="s">
        <v>85</v>
      </c>
      <c r="AM2" t="s">
        <v>86</v>
      </c>
      <c r="AN2" t="s">
        <v>87</v>
      </c>
      <c r="AO2" t="s">
        <v>88</v>
      </c>
      <c r="AP2" t="s">
        <v>74</v>
      </c>
      <c r="AQ2" t="s">
        <v>74</v>
      </c>
      <c r="AR2" t="s">
        <v>89</v>
      </c>
      <c r="AS2" t="s">
        <v>90</v>
      </c>
      <c r="AT2" t="s">
        <v>91</v>
      </c>
      <c r="AU2">
        <v>2001</v>
      </c>
      <c r="AV2">
        <v>46</v>
      </c>
      <c r="AW2">
        <v>1</v>
      </c>
      <c r="AX2" t="s">
        <v>74</v>
      </c>
      <c r="AY2" t="s">
        <v>74</v>
      </c>
      <c r="AZ2" t="s">
        <v>74</v>
      </c>
      <c r="BA2" t="s">
        <v>74</v>
      </c>
      <c r="BB2">
        <v>80</v>
      </c>
      <c r="BC2">
        <v>83</v>
      </c>
      <c r="BD2" t="s">
        <v>74</v>
      </c>
      <c r="BE2" t="s">
        <v>92</v>
      </c>
      <c r="BF2" t="str">
        <f>HYPERLINK("http://dx.doi.org/10.1007/BF03183216","http://dx.doi.org/10.1007/BF03183216")</f>
        <v>http://dx.doi.org/10.1007/BF03183216</v>
      </c>
      <c r="BG2" t="s">
        <v>74</v>
      </c>
      <c r="BH2" t="s">
        <v>74</v>
      </c>
      <c r="BI2">
        <v>4</v>
      </c>
      <c r="BJ2" t="s">
        <v>93</v>
      </c>
      <c r="BK2" t="s">
        <v>94</v>
      </c>
      <c r="BL2" t="s">
        <v>95</v>
      </c>
      <c r="BM2" t="s">
        <v>96</v>
      </c>
      <c r="BN2" t="s">
        <v>74</v>
      </c>
      <c r="BO2" t="s">
        <v>74</v>
      </c>
      <c r="BP2" t="s">
        <v>74</v>
      </c>
      <c r="BQ2" t="s">
        <v>74</v>
      </c>
      <c r="BR2" t="s">
        <v>97</v>
      </c>
      <c r="BS2" t="s">
        <v>98</v>
      </c>
      <c r="BT2" t="str">
        <f>HYPERLINK("https%3A%2F%2Fwww.webofscience.com%2Fwos%2Fwoscc%2Ffull-record%2FWOS:000167010800020","View Full Record in Web of Science")</f>
        <v>View Full Record in Web of Science</v>
      </c>
    </row>
    <row r="3" spans="1:72" x14ac:dyDescent="0.15">
      <c r="A3" t="s">
        <v>99</v>
      </c>
      <c r="B3" t="s">
        <v>100</v>
      </c>
      <c r="C3" t="s">
        <v>74</v>
      </c>
      <c r="D3" t="s">
        <v>101</v>
      </c>
      <c r="E3" t="s">
        <v>74</v>
      </c>
      <c r="F3" t="s">
        <v>102</v>
      </c>
      <c r="G3" t="s">
        <v>74</v>
      </c>
      <c r="H3" t="s">
        <v>74</v>
      </c>
      <c r="I3" t="s">
        <v>103</v>
      </c>
      <c r="J3" t="s">
        <v>104</v>
      </c>
      <c r="K3" t="s">
        <v>74</v>
      </c>
      <c r="L3" t="s">
        <v>74</v>
      </c>
      <c r="M3" t="s">
        <v>77</v>
      </c>
      <c r="N3" t="s">
        <v>105</v>
      </c>
      <c r="O3" t="s">
        <v>74</v>
      </c>
      <c r="P3" t="s">
        <v>74</v>
      </c>
      <c r="Q3" t="s">
        <v>74</v>
      </c>
      <c r="R3" t="s">
        <v>74</v>
      </c>
      <c r="S3" t="s">
        <v>74</v>
      </c>
      <c r="T3" t="s">
        <v>74</v>
      </c>
      <c r="U3" t="s">
        <v>106</v>
      </c>
      <c r="V3" t="s">
        <v>74</v>
      </c>
      <c r="W3" t="s">
        <v>74</v>
      </c>
      <c r="X3" t="s">
        <v>74</v>
      </c>
      <c r="Y3" t="s">
        <v>74</v>
      </c>
      <c r="Z3" t="s">
        <v>74</v>
      </c>
      <c r="AA3" t="s">
        <v>107</v>
      </c>
      <c r="AB3" t="s">
        <v>74</v>
      </c>
      <c r="AC3" t="s">
        <v>74</v>
      </c>
      <c r="AD3" t="s">
        <v>74</v>
      </c>
      <c r="AE3" t="s">
        <v>74</v>
      </c>
      <c r="AF3" t="s">
        <v>74</v>
      </c>
      <c r="AG3">
        <v>359</v>
      </c>
      <c r="AH3">
        <v>8</v>
      </c>
      <c r="AI3">
        <v>9</v>
      </c>
      <c r="AJ3">
        <v>0</v>
      </c>
      <c r="AK3">
        <v>0</v>
      </c>
      <c r="AL3" t="s">
        <v>108</v>
      </c>
      <c r="AM3" t="s">
        <v>109</v>
      </c>
      <c r="AN3" t="s">
        <v>110</v>
      </c>
      <c r="AO3" t="s">
        <v>74</v>
      </c>
      <c r="AP3" t="s">
        <v>74</v>
      </c>
      <c r="AQ3" t="s">
        <v>111</v>
      </c>
      <c r="AR3" t="s">
        <v>74</v>
      </c>
      <c r="AS3" t="s">
        <v>74</v>
      </c>
      <c r="AT3" t="s">
        <v>74</v>
      </c>
      <c r="AU3">
        <v>2001</v>
      </c>
      <c r="AV3" t="s">
        <v>74</v>
      </c>
      <c r="AW3" t="s">
        <v>74</v>
      </c>
      <c r="AX3" t="s">
        <v>74</v>
      </c>
      <c r="AY3" t="s">
        <v>74</v>
      </c>
      <c r="AZ3" t="s">
        <v>74</v>
      </c>
      <c r="BA3" t="s">
        <v>74</v>
      </c>
      <c r="BB3">
        <v>591</v>
      </c>
      <c r="BC3">
        <v>639</v>
      </c>
      <c r="BD3" t="s">
        <v>74</v>
      </c>
      <c r="BE3" t="s">
        <v>74</v>
      </c>
      <c r="BF3" t="s">
        <v>74</v>
      </c>
      <c r="BG3" t="s">
        <v>74</v>
      </c>
      <c r="BH3" t="s">
        <v>74</v>
      </c>
      <c r="BI3">
        <v>49</v>
      </c>
      <c r="BJ3" t="s">
        <v>112</v>
      </c>
      <c r="BK3" t="s">
        <v>113</v>
      </c>
      <c r="BL3" t="s">
        <v>114</v>
      </c>
      <c r="BM3" t="s">
        <v>115</v>
      </c>
      <c r="BN3" t="s">
        <v>74</v>
      </c>
      <c r="BO3" t="s">
        <v>74</v>
      </c>
      <c r="BP3" t="s">
        <v>74</v>
      </c>
      <c r="BQ3" t="s">
        <v>74</v>
      </c>
      <c r="BR3" t="s">
        <v>97</v>
      </c>
      <c r="BS3" t="s">
        <v>116</v>
      </c>
      <c r="BT3" t="str">
        <f>HYPERLINK("https%3A%2F%2Fwww.webofscience.com%2Fwos%2Fwoscc%2Ffull-record%2FWOS:000538687300016","View Full Record in Web of Science")</f>
        <v>View Full Record in Web of Science</v>
      </c>
    </row>
    <row r="4" spans="1:72" x14ac:dyDescent="0.15">
      <c r="A4" t="s">
        <v>99</v>
      </c>
      <c r="B4" t="s">
        <v>117</v>
      </c>
      <c r="C4" t="s">
        <v>74</v>
      </c>
      <c r="D4" t="s">
        <v>101</v>
      </c>
      <c r="E4" t="s">
        <v>74</v>
      </c>
      <c r="F4" t="s">
        <v>118</v>
      </c>
      <c r="G4" t="s">
        <v>74</v>
      </c>
      <c r="H4" t="s">
        <v>74</v>
      </c>
      <c r="I4" t="s">
        <v>119</v>
      </c>
      <c r="J4" t="s">
        <v>104</v>
      </c>
      <c r="K4" t="s">
        <v>74</v>
      </c>
      <c r="L4" t="s">
        <v>74</v>
      </c>
      <c r="M4" t="s">
        <v>77</v>
      </c>
      <c r="N4" t="s">
        <v>105</v>
      </c>
      <c r="O4" t="s">
        <v>74</v>
      </c>
      <c r="P4" t="s">
        <v>74</v>
      </c>
      <c r="Q4" t="s">
        <v>74</v>
      </c>
      <c r="R4" t="s">
        <v>74</v>
      </c>
      <c r="S4" t="s">
        <v>74</v>
      </c>
      <c r="T4" t="s">
        <v>74</v>
      </c>
      <c r="U4" t="s">
        <v>120</v>
      </c>
      <c r="V4" t="s">
        <v>74</v>
      </c>
      <c r="W4" t="s">
        <v>74</v>
      </c>
      <c r="X4" t="s">
        <v>74</v>
      </c>
      <c r="Y4" t="s">
        <v>74</v>
      </c>
      <c r="Z4" t="s">
        <v>74</v>
      </c>
      <c r="AA4" t="s">
        <v>74</v>
      </c>
      <c r="AB4" t="s">
        <v>74</v>
      </c>
      <c r="AC4" t="s">
        <v>74</v>
      </c>
      <c r="AD4" t="s">
        <v>74</v>
      </c>
      <c r="AE4" t="s">
        <v>74</v>
      </c>
      <c r="AF4" t="s">
        <v>74</v>
      </c>
      <c r="AG4">
        <v>370</v>
      </c>
      <c r="AH4">
        <v>73</v>
      </c>
      <c r="AI4">
        <v>80</v>
      </c>
      <c r="AJ4">
        <v>0</v>
      </c>
      <c r="AK4">
        <v>0</v>
      </c>
      <c r="AL4" t="s">
        <v>108</v>
      </c>
      <c r="AM4" t="s">
        <v>109</v>
      </c>
      <c r="AN4" t="s">
        <v>110</v>
      </c>
      <c r="AO4" t="s">
        <v>74</v>
      </c>
      <c r="AP4" t="s">
        <v>74</v>
      </c>
      <c r="AQ4" t="s">
        <v>111</v>
      </c>
      <c r="AR4" t="s">
        <v>74</v>
      </c>
      <c r="AS4" t="s">
        <v>74</v>
      </c>
      <c r="AT4" t="s">
        <v>74</v>
      </c>
      <c r="AU4">
        <v>2001</v>
      </c>
      <c r="AV4" t="s">
        <v>74</v>
      </c>
      <c r="AW4" t="s">
        <v>74</v>
      </c>
      <c r="AX4" t="s">
        <v>74</v>
      </c>
      <c r="AY4" t="s">
        <v>74</v>
      </c>
      <c r="AZ4" t="s">
        <v>74</v>
      </c>
      <c r="BA4" t="s">
        <v>74</v>
      </c>
      <c r="BB4">
        <v>801</v>
      </c>
      <c r="BC4">
        <v>841</v>
      </c>
      <c r="BD4" t="s">
        <v>74</v>
      </c>
      <c r="BE4" t="s">
        <v>74</v>
      </c>
      <c r="BF4" t="s">
        <v>74</v>
      </c>
      <c r="BG4" t="s">
        <v>74</v>
      </c>
      <c r="BH4" t="s">
        <v>74</v>
      </c>
      <c r="BI4">
        <v>41</v>
      </c>
      <c r="BJ4" t="s">
        <v>112</v>
      </c>
      <c r="BK4" t="s">
        <v>113</v>
      </c>
      <c r="BL4" t="s">
        <v>114</v>
      </c>
      <c r="BM4" t="s">
        <v>115</v>
      </c>
      <c r="BN4" t="s">
        <v>74</v>
      </c>
      <c r="BO4" t="s">
        <v>74</v>
      </c>
      <c r="BP4" t="s">
        <v>74</v>
      </c>
      <c r="BQ4" t="s">
        <v>74</v>
      </c>
      <c r="BR4" t="s">
        <v>97</v>
      </c>
      <c r="BS4" t="s">
        <v>121</v>
      </c>
      <c r="BT4" t="str">
        <f>HYPERLINK("https%3A%2F%2Fwww.webofscience.com%2Fwos%2Fwoscc%2Ffull-record%2FWOS:000538687300020","View Full Record in Web of Science")</f>
        <v>View Full Record in Web of Science</v>
      </c>
    </row>
    <row r="5" spans="1:72" x14ac:dyDescent="0.15">
      <c r="A5" t="s">
        <v>99</v>
      </c>
      <c r="B5" t="s">
        <v>122</v>
      </c>
      <c r="C5" t="s">
        <v>74</v>
      </c>
      <c r="D5" t="s">
        <v>101</v>
      </c>
      <c r="E5" t="s">
        <v>74</v>
      </c>
      <c r="F5" t="s">
        <v>123</v>
      </c>
      <c r="G5" t="s">
        <v>74</v>
      </c>
      <c r="H5" t="s">
        <v>74</v>
      </c>
      <c r="I5" t="s">
        <v>124</v>
      </c>
      <c r="J5" t="s">
        <v>104</v>
      </c>
      <c r="K5" t="s">
        <v>74</v>
      </c>
      <c r="L5" t="s">
        <v>74</v>
      </c>
      <c r="M5" t="s">
        <v>77</v>
      </c>
      <c r="N5" t="s">
        <v>105</v>
      </c>
      <c r="O5" t="s">
        <v>74</v>
      </c>
      <c r="P5" t="s">
        <v>74</v>
      </c>
      <c r="Q5" t="s">
        <v>74</v>
      </c>
      <c r="R5" t="s">
        <v>74</v>
      </c>
      <c r="S5" t="s">
        <v>74</v>
      </c>
      <c r="T5" t="s">
        <v>74</v>
      </c>
      <c r="U5" t="s">
        <v>125</v>
      </c>
      <c r="V5" t="s">
        <v>74</v>
      </c>
      <c r="W5" t="s">
        <v>74</v>
      </c>
      <c r="X5" t="s">
        <v>74</v>
      </c>
      <c r="Y5" t="s">
        <v>74</v>
      </c>
      <c r="Z5" t="s">
        <v>74</v>
      </c>
      <c r="AA5" t="s">
        <v>126</v>
      </c>
      <c r="AB5" t="s">
        <v>127</v>
      </c>
      <c r="AC5" t="s">
        <v>74</v>
      </c>
      <c r="AD5" t="s">
        <v>74</v>
      </c>
      <c r="AE5" t="s">
        <v>74</v>
      </c>
      <c r="AF5" t="s">
        <v>74</v>
      </c>
      <c r="AG5">
        <v>349</v>
      </c>
      <c r="AH5">
        <v>185</v>
      </c>
      <c r="AI5">
        <v>205</v>
      </c>
      <c r="AJ5">
        <v>0</v>
      </c>
      <c r="AK5">
        <v>2</v>
      </c>
      <c r="AL5" t="s">
        <v>108</v>
      </c>
      <c r="AM5" t="s">
        <v>109</v>
      </c>
      <c r="AN5" t="s">
        <v>110</v>
      </c>
      <c r="AO5" t="s">
        <v>74</v>
      </c>
      <c r="AP5" t="s">
        <v>74</v>
      </c>
      <c r="AQ5" t="s">
        <v>111</v>
      </c>
      <c r="AR5" t="s">
        <v>74</v>
      </c>
      <c r="AS5" t="s">
        <v>74</v>
      </c>
      <c r="AT5" t="s">
        <v>74</v>
      </c>
      <c r="AU5">
        <v>2001</v>
      </c>
      <c r="AV5" t="s">
        <v>74</v>
      </c>
      <c r="AW5" t="s">
        <v>74</v>
      </c>
      <c r="AX5" t="s">
        <v>74</v>
      </c>
      <c r="AY5" t="s">
        <v>74</v>
      </c>
      <c r="AZ5" t="s">
        <v>74</v>
      </c>
      <c r="BA5" t="s">
        <v>74</v>
      </c>
      <c r="BB5">
        <v>913</v>
      </c>
      <c r="BC5">
        <v>967</v>
      </c>
      <c r="BD5" t="s">
        <v>74</v>
      </c>
      <c r="BE5" t="s">
        <v>74</v>
      </c>
      <c r="BF5" t="s">
        <v>74</v>
      </c>
      <c r="BG5" t="s">
        <v>74</v>
      </c>
      <c r="BH5" t="s">
        <v>74</v>
      </c>
      <c r="BI5">
        <v>55</v>
      </c>
      <c r="BJ5" t="s">
        <v>112</v>
      </c>
      <c r="BK5" t="s">
        <v>113</v>
      </c>
      <c r="BL5" t="s">
        <v>114</v>
      </c>
      <c r="BM5" t="s">
        <v>115</v>
      </c>
      <c r="BN5" t="s">
        <v>74</v>
      </c>
      <c r="BO5" t="s">
        <v>74</v>
      </c>
      <c r="BP5" t="s">
        <v>74</v>
      </c>
      <c r="BQ5" t="s">
        <v>74</v>
      </c>
      <c r="BR5" t="s">
        <v>97</v>
      </c>
      <c r="BS5" t="s">
        <v>128</v>
      </c>
      <c r="BT5" t="str">
        <f>HYPERLINK("https%3A%2F%2Fwww.webofscience.com%2Fwos%2Fwoscc%2Ffull-record%2FWOS:000538687300023","View Full Record in Web of Science")</f>
        <v>View Full Record in Web of Science</v>
      </c>
    </row>
    <row r="6" spans="1:72" x14ac:dyDescent="0.15">
      <c r="A6" t="s">
        <v>99</v>
      </c>
      <c r="B6" t="s">
        <v>129</v>
      </c>
      <c r="C6" t="s">
        <v>74</v>
      </c>
      <c r="D6" t="s">
        <v>130</v>
      </c>
      <c r="E6" t="s">
        <v>74</v>
      </c>
      <c r="F6" t="s">
        <v>131</v>
      </c>
      <c r="G6" t="s">
        <v>74</v>
      </c>
      <c r="H6" t="s">
        <v>74</v>
      </c>
      <c r="I6" t="s">
        <v>132</v>
      </c>
      <c r="J6" t="s">
        <v>133</v>
      </c>
      <c r="K6" t="s">
        <v>74</v>
      </c>
      <c r="L6" t="s">
        <v>74</v>
      </c>
      <c r="M6" t="s">
        <v>77</v>
      </c>
      <c r="N6" t="s">
        <v>105</v>
      </c>
      <c r="O6" t="s">
        <v>74</v>
      </c>
      <c r="P6" t="s">
        <v>74</v>
      </c>
      <c r="Q6" t="s">
        <v>74</v>
      </c>
      <c r="R6" t="s">
        <v>74</v>
      </c>
      <c r="S6" t="s">
        <v>74</v>
      </c>
      <c r="T6" t="s">
        <v>74</v>
      </c>
      <c r="U6" t="s">
        <v>134</v>
      </c>
      <c r="V6" t="s">
        <v>74</v>
      </c>
      <c r="W6" t="s">
        <v>74</v>
      </c>
      <c r="X6" t="s">
        <v>74</v>
      </c>
      <c r="Y6" t="s">
        <v>74</v>
      </c>
      <c r="Z6" t="s">
        <v>74</v>
      </c>
      <c r="AA6" t="s">
        <v>135</v>
      </c>
      <c r="AB6" t="s">
        <v>136</v>
      </c>
      <c r="AC6" t="s">
        <v>74</v>
      </c>
      <c r="AD6" t="s">
        <v>74</v>
      </c>
      <c r="AE6" t="s">
        <v>74</v>
      </c>
      <c r="AF6" t="s">
        <v>74</v>
      </c>
      <c r="AG6">
        <v>562</v>
      </c>
      <c r="AH6">
        <v>85</v>
      </c>
      <c r="AI6">
        <v>95</v>
      </c>
      <c r="AJ6">
        <v>0</v>
      </c>
      <c r="AK6">
        <v>2</v>
      </c>
      <c r="AL6" t="s">
        <v>108</v>
      </c>
      <c r="AM6" t="s">
        <v>109</v>
      </c>
      <c r="AN6" t="s">
        <v>110</v>
      </c>
      <c r="AO6" t="s">
        <v>74</v>
      </c>
      <c r="AP6" t="s">
        <v>74</v>
      </c>
      <c r="AQ6" t="s">
        <v>137</v>
      </c>
      <c r="AR6" t="s">
        <v>74</v>
      </c>
      <c r="AS6" t="s">
        <v>74</v>
      </c>
      <c r="AT6" t="s">
        <v>74</v>
      </c>
      <c r="AU6">
        <v>2001</v>
      </c>
      <c r="AV6" t="s">
        <v>74</v>
      </c>
      <c r="AW6" t="s">
        <v>74</v>
      </c>
      <c r="AX6" t="s">
        <v>74</v>
      </c>
      <c r="AY6" t="s">
        <v>74</v>
      </c>
      <c r="AZ6" t="s">
        <v>74</v>
      </c>
      <c r="BA6" t="s">
        <v>74</v>
      </c>
      <c r="BB6">
        <v>417</v>
      </c>
      <c r="BC6">
        <v>470</v>
      </c>
      <c r="BD6" t="s">
        <v>74</v>
      </c>
      <c r="BE6" t="s">
        <v>74</v>
      </c>
      <c r="BF6" t="s">
        <v>74</v>
      </c>
      <c r="BG6" t="s">
        <v>74</v>
      </c>
      <c r="BH6" t="s">
        <v>74</v>
      </c>
      <c r="BI6">
        <v>54</v>
      </c>
      <c r="BJ6" t="s">
        <v>138</v>
      </c>
      <c r="BK6" t="s">
        <v>139</v>
      </c>
      <c r="BL6" t="s">
        <v>140</v>
      </c>
      <c r="BM6" t="s">
        <v>141</v>
      </c>
      <c r="BN6" t="s">
        <v>74</v>
      </c>
      <c r="BO6" t="s">
        <v>74</v>
      </c>
      <c r="BP6" t="s">
        <v>74</v>
      </c>
      <c r="BQ6" t="s">
        <v>74</v>
      </c>
      <c r="BR6" t="s">
        <v>97</v>
      </c>
      <c r="BS6" t="s">
        <v>142</v>
      </c>
      <c r="BT6" t="str">
        <f>HYPERLINK("https%3A%2F%2Fwww.webofscience.com%2Fwos%2Fwoscc%2Ffull-record%2FWOS:000538687900011","View Full Record in Web of Science")</f>
        <v>View Full Record in Web of Science</v>
      </c>
    </row>
    <row r="7" spans="1:72" x14ac:dyDescent="0.15">
      <c r="A7" t="s">
        <v>99</v>
      </c>
      <c r="B7" t="s">
        <v>143</v>
      </c>
      <c r="C7" t="s">
        <v>74</v>
      </c>
      <c r="D7" t="s">
        <v>130</v>
      </c>
      <c r="E7" t="s">
        <v>74</v>
      </c>
      <c r="F7" t="s">
        <v>144</v>
      </c>
      <c r="G7" t="s">
        <v>74</v>
      </c>
      <c r="H7" t="s">
        <v>74</v>
      </c>
      <c r="I7" t="s">
        <v>145</v>
      </c>
      <c r="J7" t="s">
        <v>133</v>
      </c>
      <c r="K7" t="s">
        <v>74</v>
      </c>
      <c r="L7" t="s">
        <v>74</v>
      </c>
      <c r="M7" t="s">
        <v>77</v>
      </c>
      <c r="N7" t="s">
        <v>105</v>
      </c>
      <c r="O7" t="s">
        <v>74</v>
      </c>
      <c r="P7" t="s">
        <v>74</v>
      </c>
      <c r="Q7" t="s">
        <v>74</v>
      </c>
      <c r="R7" t="s">
        <v>74</v>
      </c>
      <c r="S7" t="s">
        <v>74</v>
      </c>
      <c r="T7" t="s">
        <v>74</v>
      </c>
      <c r="U7" t="s">
        <v>146</v>
      </c>
      <c r="V7" t="s">
        <v>74</v>
      </c>
      <c r="W7" t="s">
        <v>74</v>
      </c>
      <c r="X7" t="s">
        <v>74</v>
      </c>
      <c r="Y7" t="s">
        <v>74</v>
      </c>
      <c r="Z7" t="s">
        <v>74</v>
      </c>
      <c r="AA7" t="s">
        <v>147</v>
      </c>
      <c r="AB7" t="s">
        <v>148</v>
      </c>
      <c r="AC7" t="s">
        <v>74</v>
      </c>
      <c r="AD7" t="s">
        <v>74</v>
      </c>
      <c r="AE7" t="s">
        <v>74</v>
      </c>
      <c r="AF7" t="s">
        <v>74</v>
      </c>
      <c r="AG7">
        <v>394</v>
      </c>
      <c r="AH7">
        <v>548</v>
      </c>
      <c r="AI7">
        <v>616</v>
      </c>
      <c r="AJ7">
        <v>0</v>
      </c>
      <c r="AK7">
        <v>7</v>
      </c>
      <c r="AL7" t="s">
        <v>108</v>
      </c>
      <c r="AM7" t="s">
        <v>109</v>
      </c>
      <c r="AN7" t="s">
        <v>110</v>
      </c>
      <c r="AO7" t="s">
        <v>74</v>
      </c>
      <c r="AP7" t="s">
        <v>74</v>
      </c>
      <c r="AQ7" t="s">
        <v>137</v>
      </c>
      <c r="AR7" t="s">
        <v>74</v>
      </c>
      <c r="AS7" t="s">
        <v>74</v>
      </c>
      <c r="AT7" t="s">
        <v>74</v>
      </c>
      <c r="AU7">
        <v>2001</v>
      </c>
      <c r="AV7" t="s">
        <v>74</v>
      </c>
      <c r="AW7" t="s">
        <v>74</v>
      </c>
      <c r="AX7" t="s">
        <v>74</v>
      </c>
      <c r="AY7" t="s">
        <v>74</v>
      </c>
      <c r="AZ7" t="s">
        <v>74</v>
      </c>
      <c r="BA7" t="s">
        <v>74</v>
      </c>
      <c r="BB7">
        <v>639</v>
      </c>
      <c r="BC7">
        <v>693</v>
      </c>
      <c r="BD7" t="s">
        <v>74</v>
      </c>
      <c r="BE7" t="s">
        <v>74</v>
      </c>
      <c r="BF7" t="s">
        <v>74</v>
      </c>
      <c r="BG7" t="s">
        <v>74</v>
      </c>
      <c r="BH7" t="s">
        <v>74</v>
      </c>
      <c r="BI7">
        <v>55</v>
      </c>
      <c r="BJ7" t="s">
        <v>138</v>
      </c>
      <c r="BK7" t="s">
        <v>139</v>
      </c>
      <c r="BL7" t="s">
        <v>140</v>
      </c>
      <c r="BM7" t="s">
        <v>141</v>
      </c>
      <c r="BN7" t="s">
        <v>74</v>
      </c>
      <c r="BO7" t="s">
        <v>74</v>
      </c>
      <c r="BP7" t="s">
        <v>74</v>
      </c>
      <c r="BQ7" t="s">
        <v>74</v>
      </c>
      <c r="BR7" t="s">
        <v>97</v>
      </c>
      <c r="BS7" t="s">
        <v>149</v>
      </c>
      <c r="BT7" t="str">
        <f>HYPERLINK("https%3A%2F%2Fwww.webofscience.com%2Fwos%2Fwoscc%2Ffull-record%2FWOS:000538687900015","View Full Record in Web of Science")</f>
        <v>View Full Record in Web of Science</v>
      </c>
    </row>
    <row r="8" spans="1:72" x14ac:dyDescent="0.15">
      <c r="A8" t="s">
        <v>72</v>
      </c>
      <c r="B8" t="s">
        <v>150</v>
      </c>
      <c r="C8" t="s">
        <v>74</v>
      </c>
      <c r="D8" t="s">
        <v>74</v>
      </c>
      <c r="E8" t="s">
        <v>74</v>
      </c>
      <c r="F8" t="s">
        <v>150</v>
      </c>
      <c r="G8" t="s">
        <v>74</v>
      </c>
      <c r="H8" t="s">
        <v>74</v>
      </c>
      <c r="I8" t="s">
        <v>151</v>
      </c>
      <c r="J8" t="s">
        <v>152</v>
      </c>
      <c r="K8" t="s">
        <v>74</v>
      </c>
      <c r="L8" t="s">
        <v>74</v>
      </c>
      <c r="M8" t="s">
        <v>77</v>
      </c>
      <c r="N8" t="s">
        <v>78</v>
      </c>
      <c r="O8" t="s">
        <v>74</v>
      </c>
      <c r="P8" t="s">
        <v>74</v>
      </c>
      <c r="Q8" t="s">
        <v>74</v>
      </c>
      <c r="R8" t="s">
        <v>74</v>
      </c>
      <c r="S8" t="s">
        <v>74</v>
      </c>
      <c r="T8" t="s">
        <v>74</v>
      </c>
      <c r="U8" t="s">
        <v>153</v>
      </c>
      <c r="V8" t="s">
        <v>154</v>
      </c>
      <c r="W8" t="s">
        <v>155</v>
      </c>
      <c r="X8" t="s">
        <v>156</v>
      </c>
      <c r="Y8" t="s">
        <v>157</v>
      </c>
      <c r="Z8" t="s">
        <v>74</v>
      </c>
      <c r="AA8" t="s">
        <v>158</v>
      </c>
      <c r="AB8" t="s">
        <v>74</v>
      </c>
      <c r="AC8" t="s">
        <v>74</v>
      </c>
      <c r="AD8" t="s">
        <v>74</v>
      </c>
      <c r="AE8" t="s">
        <v>74</v>
      </c>
      <c r="AF8" t="s">
        <v>74</v>
      </c>
      <c r="AG8">
        <v>49</v>
      </c>
      <c r="AH8">
        <v>263</v>
      </c>
      <c r="AI8">
        <v>305</v>
      </c>
      <c r="AJ8">
        <v>1</v>
      </c>
      <c r="AK8">
        <v>24</v>
      </c>
      <c r="AL8" t="s">
        <v>159</v>
      </c>
      <c r="AM8" t="s">
        <v>160</v>
      </c>
      <c r="AN8" t="s">
        <v>161</v>
      </c>
      <c r="AO8" t="s">
        <v>162</v>
      </c>
      <c r="AP8" t="s">
        <v>74</v>
      </c>
      <c r="AQ8" t="s">
        <v>74</v>
      </c>
      <c r="AR8" t="s">
        <v>163</v>
      </c>
      <c r="AS8" t="s">
        <v>164</v>
      </c>
      <c r="AT8" t="s">
        <v>91</v>
      </c>
      <c r="AU8">
        <v>2001</v>
      </c>
      <c r="AV8">
        <v>17</v>
      </c>
      <c r="AW8" t="s">
        <v>165</v>
      </c>
      <c r="AX8" t="s">
        <v>74</v>
      </c>
      <c r="AY8" t="s">
        <v>74</v>
      </c>
      <c r="AZ8" t="s">
        <v>74</v>
      </c>
      <c r="BA8" t="s">
        <v>74</v>
      </c>
      <c r="BB8">
        <v>83</v>
      </c>
      <c r="BC8">
        <v>106</v>
      </c>
      <c r="BD8" t="s">
        <v>74</v>
      </c>
      <c r="BE8" t="s">
        <v>166</v>
      </c>
      <c r="BF8" t="str">
        <f>HYPERLINK("http://dx.doi.org/10.1007/PL00013736","http://dx.doi.org/10.1007/PL00013736")</f>
        <v>http://dx.doi.org/10.1007/PL00013736</v>
      </c>
      <c r="BG8" t="s">
        <v>74</v>
      </c>
      <c r="BH8" t="s">
        <v>74</v>
      </c>
      <c r="BI8">
        <v>24</v>
      </c>
      <c r="BJ8" t="s">
        <v>167</v>
      </c>
      <c r="BK8" t="s">
        <v>94</v>
      </c>
      <c r="BL8" t="s">
        <v>167</v>
      </c>
      <c r="BM8" t="s">
        <v>168</v>
      </c>
      <c r="BN8" t="s">
        <v>74</v>
      </c>
      <c r="BO8" t="s">
        <v>74</v>
      </c>
      <c r="BP8" t="s">
        <v>74</v>
      </c>
      <c r="BQ8" t="s">
        <v>74</v>
      </c>
      <c r="BR8" t="s">
        <v>97</v>
      </c>
      <c r="BS8" t="s">
        <v>169</v>
      </c>
      <c r="BT8" t="str">
        <f>HYPERLINK("https%3A%2F%2Fwww.webofscience.com%2Fwos%2Fwoscc%2Ffull-record%2FWOS:000166407500001","View Full Record in Web of Science")</f>
        <v>View Full Record in Web of Science</v>
      </c>
    </row>
    <row r="9" spans="1:72" x14ac:dyDescent="0.15">
      <c r="A9" t="s">
        <v>72</v>
      </c>
      <c r="B9" t="s">
        <v>170</v>
      </c>
      <c r="C9" t="s">
        <v>74</v>
      </c>
      <c r="D9" t="s">
        <v>74</v>
      </c>
      <c r="E9" t="s">
        <v>74</v>
      </c>
      <c r="F9" t="s">
        <v>170</v>
      </c>
      <c r="G9" t="s">
        <v>74</v>
      </c>
      <c r="H9" t="s">
        <v>74</v>
      </c>
      <c r="I9" t="s">
        <v>171</v>
      </c>
      <c r="J9" t="s">
        <v>172</v>
      </c>
      <c r="K9" t="s">
        <v>74</v>
      </c>
      <c r="L9" t="s">
        <v>74</v>
      </c>
      <c r="M9" t="s">
        <v>77</v>
      </c>
      <c r="N9" t="s">
        <v>78</v>
      </c>
      <c r="O9" t="s">
        <v>74</v>
      </c>
      <c r="P9" t="s">
        <v>74</v>
      </c>
      <c r="Q9" t="s">
        <v>74</v>
      </c>
      <c r="R9" t="s">
        <v>74</v>
      </c>
      <c r="S9" t="s">
        <v>74</v>
      </c>
      <c r="T9" t="s">
        <v>173</v>
      </c>
      <c r="U9" t="s">
        <v>174</v>
      </c>
      <c r="V9" t="s">
        <v>175</v>
      </c>
      <c r="W9" t="s">
        <v>176</v>
      </c>
      <c r="X9" t="s">
        <v>177</v>
      </c>
      <c r="Y9" t="s">
        <v>178</v>
      </c>
      <c r="Z9" t="s">
        <v>179</v>
      </c>
      <c r="AA9" t="s">
        <v>74</v>
      </c>
      <c r="AB9" t="s">
        <v>180</v>
      </c>
      <c r="AC9" t="s">
        <v>74</v>
      </c>
      <c r="AD9" t="s">
        <v>74</v>
      </c>
      <c r="AE9" t="s">
        <v>74</v>
      </c>
      <c r="AF9" t="s">
        <v>74</v>
      </c>
      <c r="AG9">
        <v>63</v>
      </c>
      <c r="AH9">
        <v>14</v>
      </c>
      <c r="AI9">
        <v>17</v>
      </c>
      <c r="AJ9">
        <v>0</v>
      </c>
      <c r="AK9">
        <v>5</v>
      </c>
      <c r="AL9" t="s">
        <v>181</v>
      </c>
      <c r="AM9" t="s">
        <v>182</v>
      </c>
      <c r="AN9" t="s">
        <v>183</v>
      </c>
      <c r="AO9" t="s">
        <v>184</v>
      </c>
      <c r="AP9" t="s">
        <v>185</v>
      </c>
      <c r="AQ9" t="s">
        <v>74</v>
      </c>
      <c r="AR9" t="s">
        <v>186</v>
      </c>
      <c r="AS9" t="s">
        <v>187</v>
      </c>
      <c r="AT9" t="s">
        <v>188</v>
      </c>
      <c r="AU9">
        <v>2001</v>
      </c>
      <c r="AV9">
        <v>22</v>
      </c>
      <c r="AW9">
        <v>1</v>
      </c>
      <c r="AX9" t="s">
        <v>74</v>
      </c>
      <c r="AY9" t="s">
        <v>74</v>
      </c>
      <c r="AZ9" t="s">
        <v>74</v>
      </c>
      <c r="BA9" t="s">
        <v>74</v>
      </c>
      <c r="BB9">
        <v>41</v>
      </c>
      <c r="BC9">
        <v>64</v>
      </c>
      <c r="BD9" t="s">
        <v>74</v>
      </c>
      <c r="BE9" t="s">
        <v>189</v>
      </c>
      <c r="BF9" t="str">
        <f>HYPERLINK("http://dx.doi.org/10.1016/S0181-1568(00)01049-7","http://dx.doi.org/10.1016/S0181-1568(00)01049-7")</f>
        <v>http://dx.doi.org/10.1016/S0181-1568(00)01049-7</v>
      </c>
      <c r="BG9" t="s">
        <v>74</v>
      </c>
      <c r="BH9" t="s">
        <v>74</v>
      </c>
      <c r="BI9">
        <v>24</v>
      </c>
      <c r="BJ9" t="s">
        <v>190</v>
      </c>
      <c r="BK9" t="s">
        <v>94</v>
      </c>
      <c r="BL9" t="s">
        <v>190</v>
      </c>
      <c r="BM9" t="s">
        <v>191</v>
      </c>
      <c r="BN9" t="s">
        <v>74</v>
      </c>
      <c r="BO9" t="s">
        <v>74</v>
      </c>
      <c r="BP9" t="s">
        <v>74</v>
      </c>
      <c r="BQ9" t="s">
        <v>74</v>
      </c>
      <c r="BR9" t="s">
        <v>97</v>
      </c>
      <c r="BS9" t="s">
        <v>192</v>
      </c>
      <c r="BT9" t="str">
        <f>HYPERLINK("https%3A%2F%2Fwww.webofscience.com%2Fwos%2Fwoscc%2Ffull-record%2FWOS:000167766500003","View Full Record in Web of Science")</f>
        <v>View Full Record in Web of Science</v>
      </c>
    </row>
    <row r="10" spans="1:72" x14ac:dyDescent="0.15">
      <c r="A10" t="s">
        <v>72</v>
      </c>
      <c r="B10" t="s">
        <v>193</v>
      </c>
      <c r="C10" t="s">
        <v>74</v>
      </c>
      <c r="D10" t="s">
        <v>74</v>
      </c>
      <c r="E10" t="s">
        <v>74</v>
      </c>
      <c r="F10" t="s">
        <v>193</v>
      </c>
      <c r="G10" t="s">
        <v>74</v>
      </c>
      <c r="H10" t="s">
        <v>74</v>
      </c>
      <c r="I10" t="s">
        <v>194</v>
      </c>
      <c r="J10" t="s">
        <v>195</v>
      </c>
      <c r="K10" t="s">
        <v>74</v>
      </c>
      <c r="L10" t="s">
        <v>74</v>
      </c>
      <c r="M10" t="s">
        <v>196</v>
      </c>
      <c r="N10" t="s">
        <v>78</v>
      </c>
      <c r="O10" t="s">
        <v>74</v>
      </c>
      <c r="P10" t="s">
        <v>74</v>
      </c>
      <c r="Q10" t="s">
        <v>74</v>
      </c>
      <c r="R10" t="s">
        <v>74</v>
      </c>
      <c r="S10" t="s">
        <v>74</v>
      </c>
      <c r="T10" t="s">
        <v>197</v>
      </c>
      <c r="U10" t="s">
        <v>74</v>
      </c>
      <c r="V10" t="s">
        <v>198</v>
      </c>
      <c r="W10" t="s">
        <v>199</v>
      </c>
      <c r="X10" t="s">
        <v>200</v>
      </c>
      <c r="Y10" t="s">
        <v>201</v>
      </c>
      <c r="Z10" t="s">
        <v>74</v>
      </c>
      <c r="AA10" t="s">
        <v>74</v>
      </c>
      <c r="AB10" t="s">
        <v>74</v>
      </c>
      <c r="AC10" t="s">
        <v>74</v>
      </c>
      <c r="AD10" t="s">
        <v>74</v>
      </c>
      <c r="AE10" t="s">
        <v>74</v>
      </c>
      <c r="AF10" t="s">
        <v>74</v>
      </c>
      <c r="AG10">
        <v>0</v>
      </c>
      <c r="AH10">
        <v>0</v>
      </c>
      <c r="AI10">
        <v>0</v>
      </c>
      <c r="AJ10">
        <v>0</v>
      </c>
      <c r="AK10">
        <v>0</v>
      </c>
      <c r="AL10" t="s">
        <v>202</v>
      </c>
      <c r="AM10" t="s">
        <v>182</v>
      </c>
      <c r="AN10" t="s">
        <v>203</v>
      </c>
      <c r="AO10" t="s">
        <v>204</v>
      </c>
      <c r="AP10" t="s">
        <v>74</v>
      </c>
      <c r="AQ10" t="s">
        <v>74</v>
      </c>
      <c r="AR10" t="s">
        <v>195</v>
      </c>
      <c r="AS10" t="s">
        <v>205</v>
      </c>
      <c r="AT10" t="s">
        <v>74</v>
      </c>
      <c r="AU10">
        <v>2001</v>
      </c>
      <c r="AV10">
        <v>25</v>
      </c>
      <c r="AW10">
        <v>3</v>
      </c>
      <c r="AX10" t="s">
        <v>74</v>
      </c>
      <c r="AY10" t="s">
        <v>74</v>
      </c>
      <c r="AZ10" t="s">
        <v>74</v>
      </c>
      <c r="BA10" t="s">
        <v>74</v>
      </c>
      <c r="BB10">
        <v>291</v>
      </c>
      <c r="BC10">
        <v>292</v>
      </c>
      <c r="BD10" t="s">
        <v>74</v>
      </c>
      <c r="BE10" t="s">
        <v>74</v>
      </c>
      <c r="BF10" t="s">
        <v>74</v>
      </c>
      <c r="BG10" t="s">
        <v>74</v>
      </c>
      <c r="BH10" t="s">
        <v>74</v>
      </c>
      <c r="BI10">
        <v>2</v>
      </c>
      <c r="BJ10" t="s">
        <v>206</v>
      </c>
      <c r="BK10" t="s">
        <v>94</v>
      </c>
      <c r="BL10" t="s">
        <v>206</v>
      </c>
      <c r="BM10" t="s">
        <v>207</v>
      </c>
      <c r="BN10" t="s">
        <v>74</v>
      </c>
      <c r="BO10" t="s">
        <v>74</v>
      </c>
      <c r="BP10" t="s">
        <v>74</v>
      </c>
      <c r="BQ10" t="s">
        <v>74</v>
      </c>
      <c r="BR10" t="s">
        <v>97</v>
      </c>
      <c r="BS10" t="s">
        <v>208</v>
      </c>
      <c r="BT10" t="str">
        <f>HYPERLINK("https%3A%2F%2Fwww.webofscience.com%2Fwos%2Fwoscc%2Ffull-record%2FWOS:000172339100017","View Full Record in Web of Science")</f>
        <v>View Full Record in Web of Science</v>
      </c>
    </row>
    <row r="11" spans="1:72" x14ac:dyDescent="0.15">
      <c r="A11" t="s">
        <v>209</v>
      </c>
      <c r="B11" t="s">
        <v>210</v>
      </c>
      <c r="C11" t="s">
        <v>74</v>
      </c>
      <c r="D11" t="s">
        <v>211</v>
      </c>
      <c r="E11" t="s">
        <v>74</v>
      </c>
      <c r="F11" t="s">
        <v>210</v>
      </c>
      <c r="G11" t="s">
        <v>74</v>
      </c>
      <c r="H11" t="s">
        <v>74</v>
      </c>
      <c r="I11" t="s">
        <v>212</v>
      </c>
      <c r="J11" t="s">
        <v>213</v>
      </c>
      <c r="K11" t="s">
        <v>74</v>
      </c>
      <c r="L11" t="s">
        <v>74</v>
      </c>
      <c r="M11" t="s">
        <v>77</v>
      </c>
      <c r="N11" t="s">
        <v>214</v>
      </c>
      <c r="O11" t="s">
        <v>215</v>
      </c>
      <c r="P11" t="s">
        <v>216</v>
      </c>
      <c r="Q11" t="s">
        <v>217</v>
      </c>
      <c r="R11" t="s">
        <v>74</v>
      </c>
      <c r="S11" t="s">
        <v>74</v>
      </c>
      <c r="T11" t="s">
        <v>74</v>
      </c>
      <c r="U11" t="s">
        <v>218</v>
      </c>
      <c r="V11" t="s">
        <v>219</v>
      </c>
      <c r="W11" t="s">
        <v>220</v>
      </c>
      <c r="X11" t="s">
        <v>221</v>
      </c>
      <c r="Y11" t="s">
        <v>222</v>
      </c>
      <c r="Z11" t="s">
        <v>223</v>
      </c>
      <c r="AA11" t="s">
        <v>74</v>
      </c>
      <c r="AB11" t="s">
        <v>74</v>
      </c>
      <c r="AC11" t="s">
        <v>74</v>
      </c>
      <c r="AD11" t="s">
        <v>74</v>
      </c>
      <c r="AE11" t="s">
        <v>74</v>
      </c>
      <c r="AF11" t="s">
        <v>74</v>
      </c>
      <c r="AG11">
        <v>6</v>
      </c>
      <c r="AH11">
        <v>0</v>
      </c>
      <c r="AI11">
        <v>0</v>
      </c>
      <c r="AJ11">
        <v>0</v>
      </c>
      <c r="AK11">
        <v>2</v>
      </c>
      <c r="AL11" t="s">
        <v>224</v>
      </c>
      <c r="AM11" t="s">
        <v>225</v>
      </c>
      <c r="AN11" t="s">
        <v>226</v>
      </c>
      <c r="AO11" t="s">
        <v>74</v>
      </c>
      <c r="AP11" t="s">
        <v>74</v>
      </c>
      <c r="AQ11" t="s">
        <v>227</v>
      </c>
      <c r="AR11" t="s">
        <v>74</v>
      </c>
      <c r="AS11" t="s">
        <v>74</v>
      </c>
      <c r="AT11" t="s">
        <v>74</v>
      </c>
      <c r="AU11">
        <v>2001</v>
      </c>
      <c r="AV11" t="s">
        <v>74</v>
      </c>
      <c r="AW11" t="s">
        <v>74</v>
      </c>
      <c r="AX11" t="s">
        <v>74</v>
      </c>
      <c r="AY11" t="s">
        <v>74</v>
      </c>
      <c r="AZ11" t="s">
        <v>74</v>
      </c>
      <c r="BA11" t="s">
        <v>74</v>
      </c>
      <c r="BB11">
        <v>3</v>
      </c>
      <c r="BC11">
        <v>7</v>
      </c>
      <c r="BD11" t="s">
        <v>74</v>
      </c>
      <c r="BE11" t="s">
        <v>74</v>
      </c>
      <c r="BF11" t="s">
        <v>74</v>
      </c>
      <c r="BG11" t="s">
        <v>74</v>
      </c>
      <c r="BH11" t="s">
        <v>74</v>
      </c>
      <c r="BI11">
        <v>5</v>
      </c>
      <c r="BJ11" t="s">
        <v>228</v>
      </c>
      <c r="BK11" t="s">
        <v>229</v>
      </c>
      <c r="BL11" t="s">
        <v>230</v>
      </c>
      <c r="BM11" t="s">
        <v>231</v>
      </c>
      <c r="BN11" t="s">
        <v>74</v>
      </c>
      <c r="BO11" t="s">
        <v>74</v>
      </c>
      <c r="BP11" t="s">
        <v>74</v>
      </c>
      <c r="BQ11" t="s">
        <v>74</v>
      </c>
      <c r="BR11" t="s">
        <v>97</v>
      </c>
      <c r="BS11" t="s">
        <v>232</v>
      </c>
      <c r="BT11" t="str">
        <f>HYPERLINK("https%3A%2F%2Fwww.webofscience.com%2Fwos%2Fwoscc%2Ffull-record%2FWOS:000169963600001","View Full Record in Web of Science")</f>
        <v>View Full Record in Web of Science</v>
      </c>
    </row>
    <row r="12" spans="1:72" x14ac:dyDescent="0.15">
      <c r="A12" t="s">
        <v>72</v>
      </c>
      <c r="B12" t="s">
        <v>233</v>
      </c>
      <c r="C12" t="s">
        <v>74</v>
      </c>
      <c r="D12" t="s">
        <v>74</v>
      </c>
      <c r="E12" t="s">
        <v>74</v>
      </c>
      <c r="F12" t="s">
        <v>233</v>
      </c>
      <c r="G12" t="s">
        <v>74</v>
      </c>
      <c r="H12" t="s">
        <v>74</v>
      </c>
      <c r="I12" t="s">
        <v>234</v>
      </c>
      <c r="J12" t="s">
        <v>235</v>
      </c>
      <c r="K12" t="s">
        <v>74</v>
      </c>
      <c r="L12" t="s">
        <v>74</v>
      </c>
      <c r="M12" t="s">
        <v>77</v>
      </c>
      <c r="N12" t="s">
        <v>236</v>
      </c>
      <c r="O12" t="s">
        <v>74</v>
      </c>
      <c r="P12" t="s">
        <v>74</v>
      </c>
      <c r="Q12" t="s">
        <v>74</v>
      </c>
      <c r="R12" t="s">
        <v>74</v>
      </c>
      <c r="S12" t="s">
        <v>74</v>
      </c>
      <c r="T12" t="s">
        <v>237</v>
      </c>
      <c r="U12" t="s">
        <v>238</v>
      </c>
      <c r="V12" t="s">
        <v>239</v>
      </c>
      <c r="W12" t="s">
        <v>240</v>
      </c>
      <c r="X12" t="s">
        <v>241</v>
      </c>
      <c r="Y12" t="s">
        <v>242</v>
      </c>
      <c r="Z12" t="s">
        <v>74</v>
      </c>
      <c r="AA12" t="s">
        <v>243</v>
      </c>
      <c r="AB12" t="s">
        <v>244</v>
      </c>
      <c r="AC12" t="s">
        <v>74</v>
      </c>
      <c r="AD12" t="s">
        <v>74</v>
      </c>
      <c r="AE12" t="s">
        <v>74</v>
      </c>
      <c r="AF12" t="s">
        <v>74</v>
      </c>
      <c r="AG12">
        <v>170</v>
      </c>
      <c r="AH12">
        <v>63</v>
      </c>
      <c r="AI12">
        <v>74</v>
      </c>
      <c r="AJ12">
        <v>1</v>
      </c>
      <c r="AK12">
        <v>61</v>
      </c>
      <c r="AL12" t="s">
        <v>245</v>
      </c>
      <c r="AM12" t="s">
        <v>246</v>
      </c>
      <c r="AN12" t="s">
        <v>247</v>
      </c>
      <c r="AO12" t="s">
        <v>248</v>
      </c>
      <c r="AP12" t="s">
        <v>74</v>
      </c>
      <c r="AQ12" t="s">
        <v>74</v>
      </c>
      <c r="AR12" t="s">
        <v>249</v>
      </c>
      <c r="AS12" t="s">
        <v>250</v>
      </c>
      <c r="AT12" t="s">
        <v>91</v>
      </c>
      <c r="AU12">
        <v>2001</v>
      </c>
      <c r="AV12">
        <v>48</v>
      </c>
      <c r="AW12">
        <v>1</v>
      </c>
      <c r="AX12" t="s">
        <v>74</v>
      </c>
      <c r="AY12" t="s">
        <v>74</v>
      </c>
      <c r="AZ12" t="s">
        <v>74</v>
      </c>
      <c r="BA12" t="s">
        <v>74</v>
      </c>
      <c r="BB12">
        <v>1</v>
      </c>
      <c r="BC12">
        <v>48</v>
      </c>
      <c r="BD12" t="s">
        <v>74</v>
      </c>
      <c r="BE12" t="s">
        <v>251</v>
      </c>
      <c r="BF12" t="str">
        <f>HYPERLINK("http://dx.doi.org/10.1016/S0967-0637(00)00032-7","http://dx.doi.org/10.1016/S0967-0637(00)00032-7")</f>
        <v>http://dx.doi.org/10.1016/S0967-0637(00)00032-7</v>
      </c>
      <c r="BG12" t="s">
        <v>74</v>
      </c>
      <c r="BH12" t="s">
        <v>74</v>
      </c>
      <c r="BI12">
        <v>48</v>
      </c>
      <c r="BJ12" t="s">
        <v>252</v>
      </c>
      <c r="BK12" t="s">
        <v>94</v>
      </c>
      <c r="BL12" t="s">
        <v>252</v>
      </c>
      <c r="BM12" t="s">
        <v>253</v>
      </c>
      <c r="BN12" t="s">
        <v>74</v>
      </c>
      <c r="BO12" t="s">
        <v>74</v>
      </c>
      <c r="BP12" t="s">
        <v>74</v>
      </c>
      <c r="BQ12" t="s">
        <v>74</v>
      </c>
      <c r="BR12" t="s">
        <v>97</v>
      </c>
      <c r="BS12" t="s">
        <v>254</v>
      </c>
      <c r="BT12" t="str">
        <f>HYPERLINK("https%3A%2F%2Fwww.webofscience.com%2Fwos%2Fwoscc%2Ffull-record%2FWOS:000165319600001","View Full Record in Web of Science")</f>
        <v>View Full Record in Web of Science</v>
      </c>
    </row>
    <row r="13" spans="1:72" x14ac:dyDescent="0.15">
      <c r="A13" t="s">
        <v>72</v>
      </c>
      <c r="B13" t="s">
        <v>255</v>
      </c>
      <c r="C13" t="s">
        <v>74</v>
      </c>
      <c r="D13" t="s">
        <v>74</v>
      </c>
      <c r="E13" t="s">
        <v>74</v>
      </c>
      <c r="F13" t="s">
        <v>255</v>
      </c>
      <c r="G13" t="s">
        <v>74</v>
      </c>
      <c r="H13" t="s">
        <v>74</v>
      </c>
      <c r="I13" t="s">
        <v>256</v>
      </c>
      <c r="J13" t="s">
        <v>235</v>
      </c>
      <c r="K13" t="s">
        <v>74</v>
      </c>
      <c r="L13" t="s">
        <v>74</v>
      </c>
      <c r="M13" t="s">
        <v>77</v>
      </c>
      <c r="N13" t="s">
        <v>78</v>
      </c>
      <c r="O13" t="s">
        <v>74</v>
      </c>
      <c r="P13" t="s">
        <v>74</v>
      </c>
      <c r="Q13" t="s">
        <v>74</v>
      </c>
      <c r="R13" t="s">
        <v>74</v>
      </c>
      <c r="S13" t="s">
        <v>74</v>
      </c>
      <c r="T13" t="s">
        <v>257</v>
      </c>
      <c r="U13" t="s">
        <v>258</v>
      </c>
      <c r="V13" t="s">
        <v>259</v>
      </c>
      <c r="W13" t="s">
        <v>260</v>
      </c>
      <c r="X13" t="s">
        <v>261</v>
      </c>
      <c r="Y13" t="s">
        <v>262</v>
      </c>
      <c r="Z13" t="s">
        <v>74</v>
      </c>
      <c r="AA13" t="s">
        <v>74</v>
      </c>
      <c r="AB13" t="s">
        <v>74</v>
      </c>
      <c r="AC13" t="s">
        <v>74</v>
      </c>
      <c r="AD13" t="s">
        <v>74</v>
      </c>
      <c r="AE13" t="s">
        <v>74</v>
      </c>
      <c r="AF13" t="s">
        <v>74</v>
      </c>
      <c r="AG13">
        <v>49</v>
      </c>
      <c r="AH13">
        <v>93</v>
      </c>
      <c r="AI13">
        <v>99</v>
      </c>
      <c r="AJ13">
        <v>1</v>
      </c>
      <c r="AK13">
        <v>27</v>
      </c>
      <c r="AL13" t="s">
        <v>245</v>
      </c>
      <c r="AM13" t="s">
        <v>246</v>
      </c>
      <c r="AN13" t="s">
        <v>247</v>
      </c>
      <c r="AO13" t="s">
        <v>248</v>
      </c>
      <c r="AP13" t="s">
        <v>74</v>
      </c>
      <c r="AQ13" t="s">
        <v>74</v>
      </c>
      <c r="AR13" t="s">
        <v>249</v>
      </c>
      <c r="AS13" t="s">
        <v>250</v>
      </c>
      <c r="AT13" t="s">
        <v>91</v>
      </c>
      <c r="AU13">
        <v>2001</v>
      </c>
      <c r="AV13">
        <v>48</v>
      </c>
      <c r="AW13">
        <v>1</v>
      </c>
      <c r="AX13" t="s">
        <v>74</v>
      </c>
      <c r="AY13" t="s">
        <v>74</v>
      </c>
      <c r="AZ13" t="s">
        <v>74</v>
      </c>
      <c r="BA13" t="s">
        <v>74</v>
      </c>
      <c r="BB13">
        <v>137</v>
      </c>
      <c r="BC13">
        <v>161</v>
      </c>
      <c r="BD13" t="s">
        <v>74</v>
      </c>
      <c r="BE13" t="s">
        <v>263</v>
      </c>
      <c r="BF13" t="str">
        <f>HYPERLINK("http://dx.doi.org/10.1016/S0967-0637(00)00045-5","http://dx.doi.org/10.1016/S0967-0637(00)00045-5")</f>
        <v>http://dx.doi.org/10.1016/S0967-0637(00)00045-5</v>
      </c>
      <c r="BG13" t="s">
        <v>74</v>
      </c>
      <c r="BH13" t="s">
        <v>74</v>
      </c>
      <c r="BI13">
        <v>25</v>
      </c>
      <c r="BJ13" t="s">
        <v>252</v>
      </c>
      <c r="BK13" t="s">
        <v>94</v>
      </c>
      <c r="BL13" t="s">
        <v>252</v>
      </c>
      <c r="BM13" t="s">
        <v>253</v>
      </c>
      <c r="BN13" t="s">
        <v>74</v>
      </c>
      <c r="BO13" t="s">
        <v>74</v>
      </c>
      <c r="BP13" t="s">
        <v>74</v>
      </c>
      <c r="BQ13" t="s">
        <v>74</v>
      </c>
      <c r="BR13" t="s">
        <v>97</v>
      </c>
      <c r="BS13" t="s">
        <v>264</v>
      </c>
      <c r="BT13" t="str">
        <f>HYPERLINK("https%3A%2F%2Fwww.webofscience.com%2Fwos%2Fwoscc%2Ffull-record%2FWOS:000165319600007","View Full Record in Web of Science")</f>
        <v>View Full Record in Web of Science</v>
      </c>
    </row>
    <row r="14" spans="1:72" x14ac:dyDescent="0.15">
      <c r="A14" t="s">
        <v>72</v>
      </c>
      <c r="B14" t="s">
        <v>265</v>
      </c>
      <c r="C14" t="s">
        <v>74</v>
      </c>
      <c r="D14" t="s">
        <v>74</v>
      </c>
      <c r="E14" t="s">
        <v>74</v>
      </c>
      <c r="F14" t="s">
        <v>265</v>
      </c>
      <c r="G14" t="s">
        <v>74</v>
      </c>
      <c r="H14" t="s">
        <v>74</v>
      </c>
      <c r="I14" t="s">
        <v>266</v>
      </c>
      <c r="J14" t="s">
        <v>235</v>
      </c>
      <c r="K14" t="s">
        <v>74</v>
      </c>
      <c r="L14" t="s">
        <v>74</v>
      </c>
      <c r="M14" t="s">
        <v>77</v>
      </c>
      <c r="N14" t="s">
        <v>236</v>
      </c>
      <c r="O14" t="s">
        <v>74</v>
      </c>
      <c r="P14" t="s">
        <v>74</v>
      </c>
      <c r="Q14" t="s">
        <v>74</v>
      </c>
      <c r="R14" t="s">
        <v>74</v>
      </c>
      <c r="S14" t="s">
        <v>74</v>
      </c>
      <c r="T14" t="s">
        <v>267</v>
      </c>
      <c r="U14" t="s">
        <v>268</v>
      </c>
      <c r="V14" t="s">
        <v>269</v>
      </c>
      <c r="W14" t="s">
        <v>270</v>
      </c>
      <c r="X14" t="s">
        <v>271</v>
      </c>
      <c r="Y14" t="s">
        <v>272</v>
      </c>
      <c r="Z14" t="s">
        <v>273</v>
      </c>
      <c r="AA14" t="s">
        <v>274</v>
      </c>
      <c r="AB14" t="s">
        <v>275</v>
      </c>
      <c r="AC14" t="s">
        <v>74</v>
      </c>
      <c r="AD14" t="s">
        <v>74</v>
      </c>
      <c r="AE14" t="s">
        <v>74</v>
      </c>
      <c r="AF14" t="s">
        <v>74</v>
      </c>
      <c r="AG14">
        <v>105</v>
      </c>
      <c r="AH14">
        <v>193</v>
      </c>
      <c r="AI14">
        <v>199</v>
      </c>
      <c r="AJ14">
        <v>0</v>
      </c>
      <c r="AK14">
        <v>39</v>
      </c>
      <c r="AL14" t="s">
        <v>245</v>
      </c>
      <c r="AM14" t="s">
        <v>246</v>
      </c>
      <c r="AN14" t="s">
        <v>247</v>
      </c>
      <c r="AO14" t="s">
        <v>248</v>
      </c>
      <c r="AP14" t="s">
        <v>276</v>
      </c>
      <c r="AQ14" t="s">
        <v>74</v>
      </c>
      <c r="AR14" t="s">
        <v>249</v>
      </c>
      <c r="AS14" t="s">
        <v>250</v>
      </c>
      <c r="AT14" t="s">
        <v>91</v>
      </c>
      <c r="AU14">
        <v>2001</v>
      </c>
      <c r="AV14">
        <v>48</v>
      </c>
      <c r="AW14">
        <v>1</v>
      </c>
      <c r="AX14" t="s">
        <v>74</v>
      </c>
      <c r="AY14" t="s">
        <v>74</v>
      </c>
      <c r="AZ14" t="s">
        <v>74</v>
      </c>
      <c r="BA14" t="s">
        <v>74</v>
      </c>
      <c r="BB14">
        <v>163</v>
      </c>
      <c r="BC14">
        <v>187</v>
      </c>
      <c r="BD14" t="s">
        <v>74</v>
      </c>
      <c r="BE14" t="s">
        <v>277</v>
      </c>
      <c r="BF14" t="str">
        <f>HYPERLINK("http://dx.doi.org/10.1016/S0967-0637(00)00047-9","http://dx.doi.org/10.1016/S0967-0637(00)00047-9")</f>
        <v>http://dx.doi.org/10.1016/S0967-0637(00)00047-9</v>
      </c>
      <c r="BG14" t="s">
        <v>74</v>
      </c>
      <c r="BH14" t="s">
        <v>74</v>
      </c>
      <c r="BI14">
        <v>25</v>
      </c>
      <c r="BJ14" t="s">
        <v>252</v>
      </c>
      <c r="BK14" t="s">
        <v>94</v>
      </c>
      <c r="BL14" t="s">
        <v>252</v>
      </c>
      <c r="BM14" t="s">
        <v>253</v>
      </c>
      <c r="BN14" t="s">
        <v>74</v>
      </c>
      <c r="BO14" t="s">
        <v>74</v>
      </c>
      <c r="BP14" t="s">
        <v>74</v>
      </c>
      <c r="BQ14" t="s">
        <v>74</v>
      </c>
      <c r="BR14" t="s">
        <v>97</v>
      </c>
      <c r="BS14" t="s">
        <v>278</v>
      </c>
      <c r="BT14" t="str">
        <f>HYPERLINK("https%3A%2F%2Fwww.webofscience.com%2Fwos%2Fwoscc%2Ffull-record%2FWOS:000165319600008","View Full Record in Web of Science")</f>
        <v>View Full Record in Web of Science</v>
      </c>
    </row>
    <row r="15" spans="1:72" x14ac:dyDescent="0.15">
      <c r="A15" t="s">
        <v>72</v>
      </c>
      <c r="B15" t="s">
        <v>279</v>
      </c>
      <c r="C15" t="s">
        <v>74</v>
      </c>
      <c r="D15" t="s">
        <v>74</v>
      </c>
      <c r="E15" t="s">
        <v>74</v>
      </c>
      <c r="F15" t="s">
        <v>279</v>
      </c>
      <c r="G15" t="s">
        <v>74</v>
      </c>
      <c r="H15" t="s">
        <v>74</v>
      </c>
      <c r="I15" t="s">
        <v>280</v>
      </c>
      <c r="J15" t="s">
        <v>281</v>
      </c>
      <c r="K15" t="s">
        <v>74</v>
      </c>
      <c r="L15" t="s">
        <v>74</v>
      </c>
      <c r="M15" t="s">
        <v>77</v>
      </c>
      <c r="N15" t="s">
        <v>78</v>
      </c>
      <c r="O15" t="s">
        <v>74</v>
      </c>
      <c r="P15" t="s">
        <v>74</v>
      </c>
      <c r="Q15" t="s">
        <v>74</v>
      </c>
      <c r="R15" t="s">
        <v>74</v>
      </c>
      <c r="S15" t="s">
        <v>74</v>
      </c>
      <c r="T15" t="s">
        <v>74</v>
      </c>
      <c r="U15" t="s">
        <v>282</v>
      </c>
      <c r="V15" t="s">
        <v>283</v>
      </c>
      <c r="W15" t="s">
        <v>284</v>
      </c>
      <c r="X15" t="s">
        <v>285</v>
      </c>
      <c r="Y15" t="s">
        <v>286</v>
      </c>
      <c r="Z15" t="s">
        <v>287</v>
      </c>
      <c r="AA15" t="s">
        <v>288</v>
      </c>
      <c r="AB15" t="s">
        <v>289</v>
      </c>
      <c r="AC15" t="s">
        <v>74</v>
      </c>
      <c r="AD15" t="s">
        <v>74</v>
      </c>
      <c r="AE15" t="s">
        <v>74</v>
      </c>
      <c r="AF15" t="s">
        <v>74</v>
      </c>
      <c r="AG15">
        <v>61</v>
      </c>
      <c r="AH15">
        <v>91</v>
      </c>
      <c r="AI15">
        <v>101</v>
      </c>
      <c r="AJ15">
        <v>2</v>
      </c>
      <c r="AK15">
        <v>62</v>
      </c>
      <c r="AL15" t="s">
        <v>245</v>
      </c>
      <c r="AM15" t="s">
        <v>246</v>
      </c>
      <c r="AN15" t="s">
        <v>247</v>
      </c>
      <c r="AO15" t="s">
        <v>290</v>
      </c>
      <c r="AP15" t="s">
        <v>74</v>
      </c>
      <c r="AQ15" t="s">
        <v>74</v>
      </c>
      <c r="AR15" t="s">
        <v>291</v>
      </c>
      <c r="AS15" t="s">
        <v>292</v>
      </c>
      <c r="AT15" t="s">
        <v>74</v>
      </c>
      <c r="AU15">
        <v>2001</v>
      </c>
      <c r="AV15">
        <v>48</v>
      </c>
      <c r="AW15" t="s">
        <v>293</v>
      </c>
      <c r="AX15" t="s">
        <v>74</v>
      </c>
      <c r="AY15" t="s">
        <v>74</v>
      </c>
      <c r="AZ15" t="s">
        <v>74</v>
      </c>
      <c r="BA15" t="s">
        <v>74</v>
      </c>
      <c r="BB15">
        <v>2425</v>
      </c>
      <c r="BC15">
        <v>2438</v>
      </c>
      <c r="BD15" t="s">
        <v>74</v>
      </c>
      <c r="BE15" t="s">
        <v>294</v>
      </c>
      <c r="BF15" t="str">
        <f>HYPERLINK("http://dx.doi.org/10.1016/S0967-0645(01)00002-9","http://dx.doi.org/10.1016/S0967-0645(01)00002-9")</f>
        <v>http://dx.doi.org/10.1016/S0967-0645(01)00002-9</v>
      </c>
      <c r="BG15" t="s">
        <v>74</v>
      </c>
      <c r="BH15" t="s">
        <v>74</v>
      </c>
      <c r="BI15">
        <v>14</v>
      </c>
      <c r="BJ15" t="s">
        <v>252</v>
      </c>
      <c r="BK15" t="s">
        <v>94</v>
      </c>
      <c r="BL15" t="s">
        <v>252</v>
      </c>
      <c r="BM15" t="s">
        <v>295</v>
      </c>
      <c r="BN15" t="s">
        <v>74</v>
      </c>
      <c r="BO15" t="s">
        <v>296</v>
      </c>
      <c r="BP15" t="s">
        <v>74</v>
      </c>
      <c r="BQ15" t="s">
        <v>74</v>
      </c>
      <c r="BR15" t="s">
        <v>97</v>
      </c>
      <c r="BS15" t="s">
        <v>297</v>
      </c>
      <c r="BT15" t="str">
        <f>HYPERLINK("https%3A%2F%2Fwww.webofscience.com%2Fwos%2Fwoscc%2Ffull-record%2FWOS:000169483400001","View Full Record in Web of Science")</f>
        <v>View Full Record in Web of Science</v>
      </c>
    </row>
    <row r="16" spans="1:72" x14ac:dyDescent="0.15">
      <c r="A16" t="s">
        <v>72</v>
      </c>
      <c r="B16" t="s">
        <v>298</v>
      </c>
      <c r="C16" t="s">
        <v>74</v>
      </c>
      <c r="D16" t="s">
        <v>74</v>
      </c>
      <c r="E16" t="s">
        <v>74</v>
      </c>
      <c r="F16" t="s">
        <v>298</v>
      </c>
      <c r="G16" t="s">
        <v>74</v>
      </c>
      <c r="H16" t="s">
        <v>74</v>
      </c>
      <c r="I16" t="s">
        <v>299</v>
      </c>
      <c r="J16" t="s">
        <v>281</v>
      </c>
      <c r="K16" t="s">
        <v>74</v>
      </c>
      <c r="L16" t="s">
        <v>74</v>
      </c>
      <c r="M16" t="s">
        <v>77</v>
      </c>
      <c r="N16" t="s">
        <v>236</v>
      </c>
      <c r="O16" t="s">
        <v>74</v>
      </c>
      <c r="P16" t="s">
        <v>74</v>
      </c>
      <c r="Q16" t="s">
        <v>74</v>
      </c>
      <c r="R16" t="s">
        <v>74</v>
      </c>
      <c r="S16" t="s">
        <v>74</v>
      </c>
      <c r="T16" t="s">
        <v>74</v>
      </c>
      <c r="U16" t="s">
        <v>300</v>
      </c>
      <c r="V16" t="s">
        <v>301</v>
      </c>
      <c r="W16" t="s">
        <v>302</v>
      </c>
      <c r="X16" t="s">
        <v>303</v>
      </c>
      <c r="Y16" t="s">
        <v>304</v>
      </c>
      <c r="Z16" t="s">
        <v>305</v>
      </c>
      <c r="AA16" t="s">
        <v>306</v>
      </c>
      <c r="AB16" t="s">
        <v>307</v>
      </c>
      <c r="AC16" t="s">
        <v>74</v>
      </c>
      <c r="AD16" t="s">
        <v>74</v>
      </c>
      <c r="AE16" t="s">
        <v>74</v>
      </c>
      <c r="AF16" t="s">
        <v>74</v>
      </c>
      <c r="AG16">
        <v>106</v>
      </c>
      <c r="AH16">
        <v>133</v>
      </c>
      <c r="AI16">
        <v>138</v>
      </c>
      <c r="AJ16">
        <v>1</v>
      </c>
      <c r="AK16">
        <v>30</v>
      </c>
      <c r="AL16" t="s">
        <v>245</v>
      </c>
      <c r="AM16" t="s">
        <v>246</v>
      </c>
      <c r="AN16" t="s">
        <v>247</v>
      </c>
      <c r="AO16" t="s">
        <v>290</v>
      </c>
      <c r="AP16" t="s">
        <v>74</v>
      </c>
      <c r="AQ16" t="s">
        <v>74</v>
      </c>
      <c r="AR16" t="s">
        <v>291</v>
      </c>
      <c r="AS16" t="s">
        <v>292</v>
      </c>
      <c r="AT16" t="s">
        <v>74</v>
      </c>
      <c r="AU16">
        <v>2001</v>
      </c>
      <c r="AV16">
        <v>48</v>
      </c>
      <c r="AW16" t="s">
        <v>293</v>
      </c>
      <c r="AX16" t="s">
        <v>74</v>
      </c>
      <c r="AY16" t="s">
        <v>74</v>
      </c>
      <c r="AZ16" t="s">
        <v>74</v>
      </c>
      <c r="BA16" t="s">
        <v>74</v>
      </c>
      <c r="BB16">
        <v>2439</v>
      </c>
      <c r="BC16">
        <v>2466</v>
      </c>
      <c r="BD16" t="s">
        <v>74</v>
      </c>
      <c r="BE16" t="s">
        <v>308</v>
      </c>
      <c r="BF16" t="str">
        <f>HYPERLINK("http://dx.doi.org/10.1016/S0967-0645(01)00003-0","http://dx.doi.org/10.1016/S0967-0645(01)00003-0")</f>
        <v>http://dx.doi.org/10.1016/S0967-0645(01)00003-0</v>
      </c>
      <c r="BG16" t="s">
        <v>74</v>
      </c>
      <c r="BH16" t="s">
        <v>74</v>
      </c>
      <c r="BI16">
        <v>28</v>
      </c>
      <c r="BJ16" t="s">
        <v>252</v>
      </c>
      <c r="BK16" t="s">
        <v>94</v>
      </c>
      <c r="BL16" t="s">
        <v>252</v>
      </c>
      <c r="BM16" t="s">
        <v>295</v>
      </c>
      <c r="BN16" t="s">
        <v>74</v>
      </c>
      <c r="BO16" t="s">
        <v>74</v>
      </c>
      <c r="BP16" t="s">
        <v>74</v>
      </c>
      <c r="BQ16" t="s">
        <v>74</v>
      </c>
      <c r="BR16" t="s">
        <v>97</v>
      </c>
      <c r="BS16" t="s">
        <v>309</v>
      </c>
      <c r="BT16" t="str">
        <f>HYPERLINK("https%3A%2F%2Fwww.webofscience.com%2Fwos%2Fwoscc%2Ffull-record%2FWOS:000169483400002","View Full Record in Web of Science")</f>
        <v>View Full Record in Web of Science</v>
      </c>
    </row>
    <row r="17" spans="1:72" x14ac:dyDescent="0.15">
      <c r="A17" t="s">
        <v>72</v>
      </c>
      <c r="B17" t="s">
        <v>310</v>
      </c>
      <c r="C17" t="s">
        <v>74</v>
      </c>
      <c r="D17" t="s">
        <v>74</v>
      </c>
      <c r="E17" t="s">
        <v>74</v>
      </c>
      <c r="F17" t="s">
        <v>310</v>
      </c>
      <c r="G17" t="s">
        <v>74</v>
      </c>
      <c r="H17" t="s">
        <v>74</v>
      </c>
      <c r="I17" t="s">
        <v>311</v>
      </c>
      <c r="J17" t="s">
        <v>281</v>
      </c>
      <c r="K17" t="s">
        <v>74</v>
      </c>
      <c r="L17" t="s">
        <v>74</v>
      </c>
      <c r="M17" t="s">
        <v>77</v>
      </c>
      <c r="N17" t="s">
        <v>78</v>
      </c>
      <c r="O17" t="s">
        <v>74</v>
      </c>
      <c r="P17" t="s">
        <v>74</v>
      </c>
      <c r="Q17" t="s">
        <v>74</v>
      </c>
      <c r="R17" t="s">
        <v>74</v>
      </c>
      <c r="S17" t="s">
        <v>74</v>
      </c>
      <c r="T17" t="s">
        <v>74</v>
      </c>
      <c r="U17" t="s">
        <v>312</v>
      </c>
      <c r="V17" t="s">
        <v>313</v>
      </c>
      <c r="W17" t="s">
        <v>314</v>
      </c>
      <c r="X17" t="s">
        <v>315</v>
      </c>
      <c r="Y17" t="s">
        <v>316</v>
      </c>
      <c r="Z17" t="s">
        <v>317</v>
      </c>
      <c r="AA17" t="s">
        <v>74</v>
      </c>
      <c r="AB17" t="s">
        <v>318</v>
      </c>
      <c r="AC17" t="s">
        <v>74</v>
      </c>
      <c r="AD17" t="s">
        <v>74</v>
      </c>
      <c r="AE17" t="s">
        <v>74</v>
      </c>
      <c r="AF17" t="s">
        <v>74</v>
      </c>
      <c r="AG17">
        <v>52</v>
      </c>
      <c r="AH17">
        <v>39</v>
      </c>
      <c r="AI17">
        <v>49</v>
      </c>
      <c r="AJ17">
        <v>1</v>
      </c>
      <c r="AK17">
        <v>26</v>
      </c>
      <c r="AL17" t="s">
        <v>245</v>
      </c>
      <c r="AM17" t="s">
        <v>246</v>
      </c>
      <c r="AN17" t="s">
        <v>247</v>
      </c>
      <c r="AO17" t="s">
        <v>290</v>
      </c>
      <c r="AP17" t="s">
        <v>319</v>
      </c>
      <c r="AQ17" t="s">
        <v>74</v>
      </c>
      <c r="AR17" t="s">
        <v>291</v>
      </c>
      <c r="AS17" t="s">
        <v>292</v>
      </c>
      <c r="AT17" t="s">
        <v>74</v>
      </c>
      <c r="AU17">
        <v>2001</v>
      </c>
      <c r="AV17">
        <v>48</v>
      </c>
      <c r="AW17" t="s">
        <v>293</v>
      </c>
      <c r="AX17" t="s">
        <v>74</v>
      </c>
      <c r="AY17" t="s">
        <v>74</v>
      </c>
      <c r="AZ17" t="s">
        <v>74</v>
      </c>
      <c r="BA17" t="s">
        <v>74</v>
      </c>
      <c r="BB17">
        <v>2509</v>
      </c>
      <c r="BC17">
        <v>2527</v>
      </c>
      <c r="BD17" t="s">
        <v>74</v>
      </c>
      <c r="BE17" t="s">
        <v>320</v>
      </c>
      <c r="BF17" t="str">
        <f>HYPERLINK("http://dx.doi.org/10.1016/S0967-0645(01)00006-6","http://dx.doi.org/10.1016/S0967-0645(01)00006-6")</f>
        <v>http://dx.doi.org/10.1016/S0967-0645(01)00006-6</v>
      </c>
      <c r="BG17" t="s">
        <v>74</v>
      </c>
      <c r="BH17" t="s">
        <v>74</v>
      </c>
      <c r="BI17">
        <v>19</v>
      </c>
      <c r="BJ17" t="s">
        <v>252</v>
      </c>
      <c r="BK17" t="s">
        <v>94</v>
      </c>
      <c r="BL17" t="s">
        <v>252</v>
      </c>
      <c r="BM17" t="s">
        <v>295</v>
      </c>
      <c r="BN17" t="s">
        <v>74</v>
      </c>
      <c r="BO17" t="s">
        <v>74</v>
      </c>
      <c r="BP17" t="s">
        <v>74</v>
      </c>
      <c r="BQ17" t="s">
        <v>74</v>
      </c>
      <c r="BR17" t="s">
        <v>97</v>
      </c>
      <c r="BS17" t="s">
        <v>321</v>
      </c>
      <c r="BT17" t="str">
        <f>HYPERLINK("https%3A%2F%2Fwww.webofscience.com%2Fwos%2Fwoscc%2Ffull-record%2FWOS:000169483400005","View Full Record in Web of Science")</f>
        <v>View Full Record in Web of Science</v>
      </c>
    </row>
    <row r="18" spans="1:72" x14ac:dyDescent="0.15">
      <c r="A18" t="s">
        <v>72</v>
      </c>
      <c r="B18" t="s">
        <v>322</v>
      </c>
      <c r="C18" t="s">
        <v>74</v>
      </c>
      <c r="D18" t="s">
        <v>74</v>
      </c>
      <c r="E18" t="s">
        <v>74</v>
      </c>
      <c r="F18" t="s">
        <v>322</v>
      </c>
      <c r="G18" t="s">
        <v>74</v>
      </c>
      <c r="H18" t="s">
        <v>74</v>
      </c>
      <c r="I18" t="s">
        <v>323</v>
      </c>
      <c r="J18" t="s">
        <v>281</v>
      </c>
      <c r="K18" t="s">
        <v>74</v>
      </c>
      <c r="L18" t="s">
        <v>74</v>
      </c>
      <c r="M18" t="s">
        <v>77</v>
      </c>
      <c r="N18" t="s">
        <v>78</v>
      </c>
      <c r="O18" t="s">
        <v>74</v>
      </c>
      <c r="P18" t="s">
        <v>74</v>
      </c>
      <c r="Q18" t="s">
        <v>74</v>
      </c>
      <c r="R18" t="s">
        <v>74</v>
      </c>
      <c r="S18" t="s">
        <v>74</v>
      </c>
      <c r="T18" t="s">
        <v>74</v>
      </c>
      <c r="U18" t="s">
        <v>324</v>
      </c>
      <c r="V18" t="s">
        <v>325</v>
      </c>
      <c r="W18" t="s">
        <v>326</v>
      </c>
      <c r="X18" t="s">
        <v>327</v>
      </c>
      <c r="Y18" t="s">
        <v>328</v>
      </c>
      <c r="Z18" t="s">
        <v>329</v>
      </c>
      <c r="AA18" t="s">
        <v>330</v>
      </c>
      <c r="AB18" t="s">
        <v>331</v>
      </c>
      <c r="AC18" t="s">
        <v>74</v>
      </c>
      <c r="AD18" t="s">
        <v>74</v>
      </c>
      <c r="AE18" t="s">
        <v>74</v>
      </c>
      <c r="AF18" t="s">
        <v>74</v>
      </c>
      <c r="AG18">
        <v>61</v>
      </c>
      <c r="AH18">
        <v>105</v>
      </c>
      <c r="AI18">
        <v>107</v>
      </c>
      <c r="AJ18">
        <v>1</v>
      </c>
      <c r="AK18">
        <v>26</v>
      </c>
      <c r="AL18" t="s">
        <v>245</v>
      </c>
      <c r="AM18" t="s">
        <v>246</v>
      </c>
      <c r="AN18" t="s">
        <v>247</v>
      </c>
      <c r="AO18" t="s">
        <v>290</v>
      </c>
      <c r="AP18" t="s">
        <v>319</v>
      </c>
      <c r="AQ18" t="s">
        <v>74</v>
      </c>
      <c r="AR18" t="s">
        <v>291</v>
      </c>
      <c r="AS18" t="s">
        <v>292</v>
      </c>
      <c r="AT18" t="s">
        <v>74</v>
      </c>
      <c r="AU18">
        <v>2001</v>
      </c>
      <c r="AV18">
        <v>48</v>
      </c>
      <c r="AW18" t="s">
        <v>293</v>
      </c>
      <c r="AX18" t="s">
        <v>74</v>
      </c>
      <c r="AY18" t="s">
        <v>74</v>
      </c>
      <c r="AZ18" t="s">
        <v>74</v>
      </c>
      <c r="BA18" t="s">
        <v>74</v>
      </c>
      <c r="BB18">
        <v>2655</v>
      </c>
      <c r="BC18">
        <v>2680</v>
      </c>
      <c r="BD18" t="s">
        <v>74</v>
      </c>
      <c r="BE18" t="s">
        <v>332</v>
      </c>
      <c r="BF18" t="str">
        <f>HYPERLINK("http://dx.doi.org/10.1016/S0967-0645(01)00013-3","http://dx.doi.org/10.1016/S0967-0645(01)00013-3")</f>
        <v>http://dx.doi.org/10.1016/S0967-0645(01)00013-3</v>
      </c>
      <c r="BG18" t="s">
        <v>74</v>
      </c>
      <c r="BH18" t="s">
        <v>74</v>
      </c>
      <c r="BI18">
        <v>26</v>
      </c>
      <c r="BJ18" t="s">
        <v>252</v>
      </c>
      <c r="BK18" t="s">
        <v>94</v>
      </c>
      <c r="BL18" t="s">
        <v>252</v>
      </c>
      <c r="BM18" t="s">
        <v>295</v>
      </c>
      <c r="BN18" t="s">
        <v>74</v>
      </c>
      <c r="BO18" t="s">
        <v>74</v>
      </c>
      <c r="BP18" t="s">
        <v>74</v>
      </c>
      <c r="BQ18" t="s">
        <v>74</v>
      </c>
      <c r="BR18" t="s">
        <v>97</v>
      </c>
      <c r="BS18" t="s">
        <v>333</v>
      </c>
      <c r="BT18" t="str">
        <f>HYPERLINK("https%3A%2F%2Fwww.webofscience.com%2Fwos%2Fwoscc%2Ffull-record%2FWOS:000169483400012","View Full Record in Web of Science")</f>
        <v>View Full Record in Web of Science</v>
      </c>
    </row>
    <row r="19" spans="1:72" x14ac:dyDescent="0.15">
      <c r="A19" t="s">
        <v>72</v>
      </c>
      <c r="B19" t="s">
        <v>334</v>
      </c>
      <c r="C19" t="s">
        <v>74</v>
      </c>
      <c r="D19" t="s">
        <v>74</v>
      </c>
      <c r="E19" t="s">
        <v>74</v>
      </c>
      <c r="F19" t="s">
        <v>334</v>
      </c>
      <c r="G19" t="s">
        <v>74</v>
      </c>
      <c r="H19" t="s">
        <v>74</v>
      </c>
      <c r="I19" t="s">
        <v>335</v>
      </c>
      <c r="J19" t="s">
        <v>281</v>
      </c>
      <c r="K19" t="s">
        <v>74</v>
      </c>
      <c r="L19" t="s">
        <v>74</v>
      </c>
      <c r="M19" t="s">
        <v>77</v>
      </c>
      <c r="N19" t="s">
        <v>236</v>
      </c>
      <c r="O19" t="s">
        <v>74</v>
      </c>
      <c r="P19" t="s">
        <v>74</v>
      </c>
      <c r="Q19" t="s">
        <v>74</v>
      </c>
      <c r="R19" t="s">
        <v>74</v>
      </c>
      <c r="S19" t="s">
        <v>74</v>
      </c>
      <c r="T19" t="s">
        <v>74</v>
      </c>
      <c r="U19" t="s">
        <v>336</v>
      </c>
      <c r="V19" t="s">
        <v>337</v>
      </c>
      <c r="W19" t="s">
        <v>338</v>
      </c>
      <c r="X19" t="s">
        <v>339</v>
      </c>
      <c r="Y19" t="s">
        <v>340</v>
      </c>
      <c r="Z19" t="s">
        <v>341</v>
      </c>
      <c r="AA19" t="s">
        <v>342</v>
      </c>
      <c r="AB19" t="s">
        <v>343</v>
      </c>
      <c r="AC19" t="s">
        <v>74</v>
      </c>
      <c r="AD19" t="s">
        <v>74</v>
      </c>
      <c r="AE19" t="s">
        <v>74</v>
      </c>
      <c r="AF19" t="s">
        <v>74</v>
      </c>
      <c r="AG19">
        <v>107</v>
      </c>
      <c r="AH19">
        <v>136</v>
      </c>
      <c r="AI19">
        <v>149</v>
      </c>
      <c r="AJ19">
        <v>1</v>
      </c>
      <c r="AK19">
        <v>52</v>
      </c>
      <c r="AL19" t="s">
        <v>245</v>
      </c>
      <c r="AM19" t="s">
        <v>246</v>
      </c>
      <c r="AN19" t="s">
        <v>247</v>
      </c>
      <c r="AO19" t="s">
        <v>290</v>
      </c>
      <c r="AP19" t="s">
        <v>74</v>
      </c>
      <c r="AQ19" t="s">
        <v>74</v>
      </c>
      <c r="AR19" t="s">
        <v>291</v>
      </c>
      <c r="AS19" t="s">
        <v>292</v>
      </c>
      <c r="AT19" t="s">
        <v>74</v>
      </c>
      <c r="AU19">
        <v>2001</v>
      </c>
      <c r="AV19">
        <v>48</v>
      </c>
      <c r="AW19" t="s">
        <v>293</v>
      </c>
      <c r="AX19" t="s">
        <v>74</v>
      </c>
      <c r="AY19" t="s">
        <v>74</v>
      </c>
      <c r="AZ19" t="s">
        <v>74</v>
      </c>
      <c r="BA19" t="s">
        <v>74</v>
      </c>
      <c r="BB19">
        <v>2703</v>
      </c>
      <c r="BC19">
        <v>2743</v>
      </c>
      <c r="BD19" t="s">
        <v>74</v>
      </c>
      <c r="BE19" t="s">
        <v>344</v>
      </c>
      <c r="BF19" t="str">
        <f>HYPERLINK("http://dx.doi.org/10.1016/S0967-0645(01)00015-7","http://dx.doi.org/10.1016/S0967-0645(01)00015-7")</f>
        <v>http://dx.doi.org/10.1016/S0967-0645(01)00015-7</v>
      </c>
      <c r="BG19" t="s">
        <v>74</v>
      </c>
      <c r="BH19" t="s">
        <v>74</v>
      </c>
      <c r="BI19">
        <v>41</v>
      </c>
      <c r="BJ19" t="s">
        <v>252</v>
      </c>
      <c r="BK19" t="s">
        <v>94</v>
      </c>
      <c r="BL19" t="s">
        <v>252</v>
      </c>
      <c r="BM19" t="s">
        <v>295</v>
      </c>
      <c r="BN19" t="s">
        <v>74</v>
      </c>
      <c r="BO19" t="s">
        <v>74</v>
      </c>
      <c r="BP19" t="s">
        <v>74</v>
      </c>
      <c r="BQ19" t="s">
        <v>74</v>
      </c>
      <c r="BR19" t="s">
        <v>97</v>
      </c>
      <c r="BS19" t="s">
        <v>345</v>
      </c>
      <c r="BT19" t="str">
        <f>HYPERLINK("https%3A%2F%2Fwww.webofscience.com%2Fwos%2Fwoscc%2Ffull-record%2FWOS:000169483400014","View Full Record in Web of Science")</f>
        <v>View Full Record in Web of Science</v>
      </c>
    </row>
    <row r="20" spans="1:72" x14ac:dyDescent="0.15">
      <c r="A20" t="s">
        <v>72</v>
      </c>
      <c r="B20" t="s">
        <v>346</v>
      </c>
      <c r="C20" t="s">
        <v>74</v>
      </c>
      <c r="D20" t="s">
        <v>74</v>
      </c>
      <c r="E20" t="s">
        <v>74</v>
      </c>
      <c r="F20" t="s">
        <v>346</v>
      </c>
      <c r="G20" t="s">
        <v>74</v>
      </c>
      <c r="H20" t="s">
        <v>74</v>
      </c>
      <c r="I20" t="s">
        <v>347</v>
      </c>
      <c r="J20" t="s">
        <v>281</v>
      </c>
      <c r="K20" t="s">
        <v>74</v>
      </c>
      <c r="L20" t="s">
        <v>74</v>
      </c>
      <c r="M20" t="s">
        <v>77</v>
      </c>
      <c r="N20" t="s">
        <v>78</v>
      </c>
      <c r="O20" t="s">
        <v>74</v>
      </c>
      <c r="P20" t="s">
        <v>74</v>
      </c>
      <c r="Q20" t="s">
        <v>74</v>
      </c>
      <c r="R20" t="s">
        <v>74</v>
      </c>
      <c r="S20" t="s">
        <v>74</v>
      </c>
      <c r="T20" t="s">
        <v>74</v>
      </c>
      <c r="U20" t="s">
        <v>348</v>
      </c>
      <c r="V20" t="s">
        <v>349</v>
      </c>
      <c r="W20" t="s">
        <v>350</v>
      </c>
      <c r="X20" t="s">
        <v>351</v>
      </c>
      <c r="Y20" t="s">
        <v>352</v>
      </c>
      <c r="Z20" t="s">
        <v>74</v>
      </c>
      <c r="AA20" t="s">
        <v>353</v>
      </c>
      <c r="AB20" t="s">
        <v>354</v>
      </c>
      <c r="AC20" t="s">
        <v>74</v>
      </c>
      <c r="AD20" t="s">
        <v>74</v>
      </c>
      <c r="AE20" t="s">
        <v>74</v>
      </c>
      <c r="AF20" t="s">
        <v>74</v>
      </c>
      <c r="AG20">
        <v>61</v>
      </c>
      <c r="AH20">
        <v>30</v>
      </c>
      <c r="AI20">
        <v>31</v>
      </c>
      <c r="AJ20">
        <v>0</v>
      </c>
      <c r="AK20">
        <v>13</v>
      </c>
      <c r="AL20" t="s">
        <v>245</v>
      </c>
      <c r="AM20" t="s">
        <v>246</v>
      </c>
      <c r="AN20" t="s">
        <v>247</v>
      </c>
      <c r="AO20" t="s">
        <v>290</v>
      </c>
      <c r="AP20" t="s">
        <v>74</v>
      </c>
      <c r="AQ20" t="s">
        <v>74</v>
      </c>
      <c r="AR20" t="s">
        <v>291</v>
      </c>
      <c r="AS20" t="s">
        <v>292</v>
      </c>
      <c r="AT20" t="s">
        <v>74</v>
      </c>
      <c r="AU20">
        <v>2001</v>
      </c>
      <c r="AV20">
        <v>48</v>
      </c>
      <c r="AW20">
        <v>13</v>
      </c>
      <c r="AX20" t="s">
        <v>74</v>
      </c>
      <c r="AY20" t="s">
        <v>74</v>
      </c>
      <c r="AZ20" t="s">
        <v>74</v>
      </c>
      <c r="BA20" t="s">
        <v>74</v>
      </c>
      <c r="BB20">
        <v>2811</v>
      </c>
      <c r="BC20">
        <v>2827</v>
      </c>
      <c r="BD20" t="s">
        <v>74</v>
      </c>
      <c r="BE20" t="s">
        <v>355</v>
      </c>
      <c r="BF20" t="str">
        <f>HYPERLINK("http://dx.doi.org/10.1016/S0967-0645(01)00019-4","http://dx.doi.org/10.1016/S0967-0645(01)00019-4")</f>
        <v>http://dx.doi.org/10.1016/S0967-0645(01)00019-4</v>
      </c>
      <c r="BG20" t="s">
        <v>74</v>
      </c>
      <c r="BH20" t="s">
        <v>74</v>
      </c>
      <c r="BI20">
        <v>17</v>
      </c>
      <c r="BJ20" t="s">
        <v>252</v>
      </c>
      <c r="BK20" t="s">
        <v>94</v>
      </c>
      <c r="BL20" t="s">
        <v>252</v>
      </c>
      <c r="BM20" t="s">
        <v>356</v>
      </c>
      <c r="BN20" t="s">
        <v>74</v>
      </c>
      <c r="BO20" t="s">
        <v>74</v>
      </c>
      <c r="BP20" t="s">
        <v>74</v>
      </c>
      <c r="BQ20" t="s">
        <v>74</v>
      </c>
      <c r="BR20" t="s">
        <v>97</v>
      </c>
      <c r="BS20" t="s">
        <v>357</v>
      </c>
      <c r="BT20" t="str">
        <f>HYPERLINK("https%3A%2F%2Fwww.webofscience.com%2Fwos%2Fwoscc%2Ffull-record%2FWOS:000169483800004","View Full Record in Web of Science")</f>
        <v>View Full Record in Web of Science</v>
      </c>
    </row>
    <row r="21" spans="1:72" x14ac:dyDescent="0.15">
      <c r="A21" t="s">
        <v>72</v>
      </c>
      <c r="B21" t="s">
        <v>358</v>
      </c>
      <c r="C21" t="s">
        <v>74</v>
      </c>
      <c r="D21" t="s">
        <v>74</v>
      </c>
      <c r="E21" t="s">
        <v>74</v>
      </c>
      <c r="F21" t="s">
        <v>358</v>
      </c>
      <c r="G21" t="s">
        <v>74</v>
      </c>
      <c r="H21" t="s">
        <v>74</v>
      </c>
      <c r="I21" t="s">
        <v>359</v>
      </c>
      <c r="J21" t="s">
        <v>281</v>
      </c>
      <c r="K21" t="s">
        <v>74</v>
      </c>
      <c r="L21" t="s">
        <v>74</v>
      </c>
      <c r="M21" t="s">
        <v>77</v>
      </c>
      <c r="N21" t="s">
        <v>78</v>
      </c>
      <c r="O21" t="s">
        <v>74</v>
      </c>
      <c r="P21" t="s">
        <v>74</v>
      </c>
      <c r="Q21" t="s">
        <v>74</v>
      </c>
      <c r="R21" t="s">
        <v>74</v>
      </c>
      <c r="S21" t="s">
        <v>74</v>
      </c>
      <c r="T21" t="s">
        <v>74</v>
      </c>
      <c r="U21" t="s">
        <v>360</v>
      </c>
      <c r="V21" t="s">
        <v>361</v>
      </c>
      <c r="W21" t="s">
        <v>362</v>
      </c>
      <c r="X21" t="s">
        <v>363</v>
      </c>
      <c r="Y21" t="s">
        <v>364</v>
      </c>
      <c r="Z21" t="s">
        <v>365</v>
      </c>
      <c r="AA21" t="s">
        <v>366</v>
      </c>
      <c r="AB21" t="s">
        <v>367</v>
      </c>
      <c r="AC21" t="s">
        <v>74</v>
      </c>
      <c r="AD21" t="s">
        <v>74</v>
      </c>
      <c r="AE21" t="s">
        <v>74</v>
      </c>
      <c r="AF21" t="s">
        <v>74</v>
      </c>
      <c r="AG21">
        <v>94</v>
      </c>
      <c r="AH21">
        <v>17</v>
      </c>
      <c r="AI21">
        <v>21</v>
      </c>
      <c r="AJ21">
        <v>0</v>
      </c>
      <c r="AK21">
        <v>11</v>
      </c>
      <c r="AL21" t="s">
        <v>245</v>
      </c>
      <c r="AM21" t="s">
        <v>246</v>
      </c>
      <c r="AN21" t="s">
        <v>247</v>
      </c>
      <c r="AO21" t="s">
        <v>290</v>
      </c>
      <c r="AP21" t="s">
        <v>319</v>
      </c>
      <c r="AQ21" t="s">
        <v>74</v>
      </c>
      <c r="AR21" t="s">
        <v>291</v>
      </c>
      <c r="AS21" t="s">
        <v>292</v>
      </c>
      <c r="AT21" t="s">
        <v>74</v>
      </c>
      <c r="AU21">
        <v>2001</v>
      </c>
      <c r="AV21">
        <v>48</v>
      </c>
      <c r="AW21">
        <v>13</v>
      </c>
      <c r="AX21" t="s">
        <v>74</v>
      </c>
      <c r="AY21" t="s">
        <v>74</v>
      </c>
      <c r="AZ21" t="s">
        <v>74</v>
      </c>
      <c r="BA21" t="s">
        <v>74</v>
      </c>
      <c r="BB21">
        <v>2855</v>
      </c>
      <c r="BC21">
        <v>2876</v>
      </c>
      <c r="BD21" t="s">
        <v>74</v>
      </c>
      <c r="BE21" t="s">
        <v>368</v>
      </c>
      <c r="BF21" t="str">
        <f>HYPERLINK("http://dx.doi.org/10.1016/S0967-0645(01)00021-2","http://dx.doi.org/10.1016/S0967-0645(01)00021-2")</f>
        <v>http://dx.doi.org/10.1016/S0967-0645(01)00021-2</v>
      </c>
      <c r="BG21" t="s">
        <v>74</v>
      </c>
      <c r="BH21" t="s">
        <v>74</v>
      </c>
      <c r="BI21">
        <v>22</v>
      </c>
      <c r="BJ21" t="s">
        <v>252</v>
      </c>
      <c r="BK21" t="s">
        <v>94</v>
      </c>
      <c r="BL21" t="s">
        <v>252</v>
      </c>
      <c r="BM21" t="s">
        <v>356</v>
      </c>
      <c r="BN21" t="s">
        <v>74</v>
      </c>
      <c r="BO21" t="s">
        <v>74</v>
      </c>
      <c r="BP21" t="s">
        <v>74</v>
      </c>
      <c r="BQ21" t="s">
        <v>74</v>
      </c>
      <c r="BR21" t="s">
        <v>97</v>
      </c>
      <c r="BS21" t="s">
        <v>369</v>
      </c>
      <c r="BT21" t="str">
        <f>HYPERLINK("https%3A%2F%2Fwww.webofscience.com%2Fwos%2Fwoscc%2Ffull-record%2FWOS:000169483800006","View Full Record in Web of Science")</f>
        <v>View Full Record in Web of Science</v>
      </c>
    </row>
    <row r="22" spans="1:72" x14ac:dyDescent="0.15">
      <c r="A22" t="s">
        <v>72</v>
      </c>
      <c r="B22" t="s">
        <v>370</v>
      </c>
      <c r="C22" t="s">
        <v>74</v>
      </c>
      <c r="D22" t="s">
        <v>74</v>
      </c>
      <c r="E22" t="s">
        <v>74</v>
      </c>
      <c r="F22" t="s">
        <v>370</v>
      </c>
      <c r="G22" t="s">
        <v>74</v>
      </c>
      <c r="H22" t="s">
        <v>74</v>
      </c>
      <c r="I22" t="s">
        <v>371</v>
      </c>
      <c r="J22" t="s">
        <v>281</v>
      </c>
      <c r="K22" t="s">
        <v>74</v>
      </c>
      <c r="L22" t="s">
        <v>74</v>
      </c>
      <c r="M22" t="s">
        <v>77</v>
      </c>
      <c r="N22" t="s">
        <v>78</v>
      </c>
      <c r="O22" t="s">
        <v>74</v>
      </c>
      <c r="P22" t="s">
        <v>74</v>
      </c>
      <c r="Q22" t="s">
        <v>74</v>
      </c>
      <c r="R22" t="s">
        <v>74</v>
      </c>
      <c r="S22" t="s">
        <v>74</v>
      </c>
      <c r="T22" t="s">
        <v>74</v>
      </c>
      <c r="U22" t="s">
        <v>372</v>
      </c>
      <c r="V22" t="s">
        <v>373</v>
      </c>
      <c r="W22" t="s">
        <v>374</v>
      </c>
      <c r="X22" t="s">
        <v>375</v>
      </c>
      <c r="Y22" t="s">
        <v>376</v>
      </c>
      <c r="Z22" t="s">
        <v>74</v>
      </c>
      <c r="AA22" t="s">
        <v>377</v>
      </c>
      <c r="AB22" t="s">
        <v>378</v>
      </c>
      <c r="AC22" t="s">
        <v>74</v>
      </c>
      <c r="AD22" t="s">
        <v>74</v>
      </c>
      <c r="AE22" t="s">
        <v>74</v>
      </c>
      <c r="AF22" t="s">
        <v>74</v>
      </c>
      <c r="AG22">
        <v>47</v>
      </c>
      <c r="AH22">
        <v>115</v>
      </c>
      <c r="AI22">
        <v>133</v>
      </c>
      <c r="AJ22">
        <v>1</v>
      </c>
      <c r="AK22">
        <v>78</v>
      </c>
      <c r="AL22" t="s">
        <v>245</v>
      </c>
      <c r="AM22" t="s">
        <v>246</v>
      </c>
      <c r="AN22" t="s">
        <v>247</v>
      </c>
      <c r="AO22" t="s">
        <v>290</v>
      </c>
      <c r="AP22" t="s">
        <v>74</v>
      </c>
      <c r="AQ22" t="s">
        <v>74</v>
      </c>
      <c r="AR22" t="s">
        <v>291</v>
      </c>
      <c r="AS22" t="s">
        <v>292</v>
      </c>
      <c r="AT22" t="s">
        <v>74</v>
      </c>
      <c r="AU22">
        <v>2001</v>
      </c>
      <c r="AV22">
        <v>48</v>
      </c>
      <c r="AW22">
        <v>13</v>
      </c>
      <c r="AX22" t="s">
        <v>74</v>
      </c>
      <c r="AY22" t="s">
        <v>74</v>
      </c>
      <c r="AZ22" t="s">
        <v>74</v>
      </c>
      <c r="BA22" t="s">
        <v>74</v>
      </c>
      <c r="BB22">
        <v>2895</v>
      </c>
      <c r="BC22">
        <v>2915</v>
      </c>
      <c r="BD22" t="s">
        <v>74</v>
      </c>
      <c r="BE22" t="s">
        <v>379</v>
      </c>
      <c r="BF22" t="str">
        <f>HYPERLINK("http://dx.doi.org/10.1016/S0967-0645(01)00023-6","http://dx.doi.org/10.1016/S0967-0645(01)00023-6")</f>
        <v>http://dx.doi.org/10.1016/S0967-0645(01)00023-6</v>
      </c>
      <c r="BG22" t="s">
        <v>74</v>
      </c>
      <c r="BH22" t="s">
        <v>74</v>
      </c>
      <c r="BI22">
        <v>21</v>
      </c>
      <c r="BJ22" t="s">
        <v>252</v>
      </c>
      <c r="BK22" t="s">
        <v>94</v>
      </c>
      <c r="BL22" t="s">
        <v>252</v>
      </c>
      <c r="BM22" t="s">
        <v>356</v>
      </c>
      <c r="BN22" t="s">
        <v>74</v>
      </c>
      <c r="BO22" t="s">
        <v>74</v>
      </c>
      <c r="BP22" t="s">
        <v>74</v>
      </c>
      <c r="BQ22" t="s">
        <v>74</v>
      </c>
      <c r="BR22" t="s">
        <v>97</v>
      </c>
      <c r="BS22" t="s">
        <v>380</v>
      </c>
      <c r="BT22" t="str">
        <f>HYPERLINK("https%3A%2F%2Fwww.webofscience.com%2Fwos%2Fwoscc%2Ffull-record%2FWOS:000169483800008","View Full Record in Web of Science")</f>
        <v>View Full Record in Web of Science</v>
      </c>
    </row>
    <row r="23" spans="1:72" x14ac:dyDescent="0.15">
      <c r="A23" t="s">
        <v>72</v>
      </c>
      <c r="B23" t="s">
        <v>381</v>
      </c>
      <c r="C23" t="s">
        <v>74</v>
      </c>
      <c r="D23" t="s">
        <v>74</v>
      </c>
      <c r="E23" t="s">
        <v>74</v>
      </c>
      <c r="F23" t="s">
        <v>381</v>
      </c>
      <c r="G23" t="s">
        <v>74</v>
      </c>
      <c r="H23" t="s">
        <v>74</v>
      </c>
      <c r="I23" t="s">
        <v>382</v>
      </c>
      <c r="J23" t="s">
        <v>281</v>
      </c>
      <c r="K23" t="s">
        <v>74</v>
      </c>
      <c r="L23" t="s">
        <v>74</v>
      </c>
      <c r="M23" t="s">
        <v>77</v>
      </c>
      <c r="N23" t="s">
        <v>78</v>
      </c>
      <c r="O23" t="s">
        <v>74</v>
      </c>
      <c r="P23" t="s">
        <v>74</v>
      </c>
      <c r="Q23" t="s">
        <v>74</v>
      </c>
      <c r="R23" t="s">
        <v>74</v>
      </c>
      <c r="S23" t="s">
        <v>74</v>
      </c>
      <c r="T23" t="s">
        <v>74</v>
      </c>
      <c r="U23" t="s">
        <v>383</v>
      </c>
      <c r="V23" t="s">
        <v>384</v>
      </c>
      <c r="W23" t="s">
        <v>385</v>
      </c>
      <c r="X23" t="s">
        <v>386</v>
      </c>
      <c r="Y23" t="s">
        <v>387</v>
      </c>
      <c r="Z23" t="s">
        <v>74</v>
      </c>
      <c r="AA23" t="s">
        <v>388</v>
      </c>
      <c r="AB23" t="s">
        <v>389</v>
      </c>
      <c r="AC23" t="s">
        <v>74</v>
      </c>
      <c r="AD23" t="s">
        <v>74</v>
      </c>
      <c r="AE23" t="s">
        <v>74</v>
      </c>
      <c r="AF23" t="s">
        <v>74</v>
      </c>
      <c r="AG23">
        <v>36</v>
      </c>
      <c r="AH23">
        <v>56</v>
      </c>
      <c r="AI23">
        <v>63</v>
      </c>
      <c r="AJ23">
        <v>4</v>
      </c>
      <c r="AK23">
        <v>37</v>
      </c>
      <c r="AL23" t="s">
        <v>245</v>
      </c>
      <c r="AM23" t="s">
        <v>246</v>
      </c>
      <c r="AN23" t="s">
        <v>247</v>
      </c>
      <c r="AO23" t="s">
        <v>290</v>
      </c>
      <c r="AP23" t="s">
        <v>74</v>
      </c>
      <c r="AQ23" t="s">
        <v>74</v>
      </c>
      <c r="AR23" t="s">
        <v>291</v>
      </c>
      <c r="AS23" t="s">
        <v>292</v>
      </c>
      <c r="AT23" t="s">
        <v>74</v>
      </c>
      <c r="AU23">
        <v>2001</v>
      </c>
      <c r="AV23">
        <v>48</v>
      </c>
      <c r="AW23">
        <v>13</v>
      </c>
      <c r="AX23" t="s">
        <v>74</v>
      </c>
      <c r="AY23" t="s">
        <v>74</v>
      </c>
      <c r="AZ23" t="s">
        <v>74</v>
      </c>
      <c r="BA23" t="s">
        <v>74</v>
      </c>
      <c r="BB23">
        <v>2917</v>
      </c>
      <c r="BC23">
        <v>2931</v>
      </c>
      <c r="BD23" t="s">
        <v>74</v>
      </c>
      <c r="BE23" t="s">
        <v>390</v>
      </c>
      <c r="BF23" t="str">
        <f>HYPERLINK("http://dx.doi.org/10.1016/S0967-0645(01)00024-8","http://dx.doi.org/10.1016/S0967-0645(01)00024-8")</f>
        <v>http://dx.doi.org/10.1016/S0967-0645(01)00024-8</v>
      </c>
      <c r="BG23" t="s">
        <v>74</v>
      </c>
      <c r="BH23" t="s">
        <v>74</v>
      </c>
      <c r="BI23">
        <v>15</v>
      </c>
      <c r="BJ23" t="s">
        <v>252</v>
      </c>
      <c r="BK23" t="s">
        <v>94</v>
      </c>
      <c r="BL23" t="s">
        <v>252</v>
      </c>
      <c r="BM23" t="s">
        <v>356</v>
      </c>
      <c r="BN23" t="s">
        <v>74</v>
      </c>
      <c r="BO23" t="s">
        <v>74</v>
      </c>
      <c r="BP23" t="s">
        <v>74</v>
      </c>
      <c r="BQ23" t="s">
        <v>74</v>
      </c>
      <c r="BR23" t="s">
        <v>97</v>
      </c>
      <c r="BS23" t="s">
        <v>391</v>
      </c>
      <c r="BT23" t="str">
        <f>HYPERLINK("https%3A%2F%2Fwww.webofscience.com%2Fwos%2Fwoscc%2Ffull-record%2FWOS:000169483800009","View Full Record in Web of Science")</f>
        <v>View Full Record in Web of Science</v>
      </c>
    </row>
    <row r="24" spans="1:72" x14ac:dyDescent="0.15">
      <c r="A24" t="s">
        <v>72</v>
      </c>
      <c r="B24" t="s">
        <v>392</v>
      </c>
      <c r="C24" t="s">
        <v>74</v>
      </c>
      <c r="D24" t="s">
        <v>74</v>
      </c>
      <c r="E24" t="s">
        <v>74</v>
      </c>
      <c r="F24" t="s">
        <v>392</v>
      </c>
      <c r="G24" t="s">
        <v>74</v>
      </c>
      <c r="H24" t="s">
        <v>74</v>
      </c>
      <c r="I24" t="s">
        <v>393</v>
      </c>
      <c r="J24" t="s">
        <v>281</v>
      </c>
      <c r="K24" t="s">
        <v>74</v>
      </c>
      <c r="L24" t="s">
        <v>74</v>
      </c>
      <c r="M24" t="s">
        <v>77</v>
      </c>
      <c r="N24" t="s">
        <v>78</v>
      </c>
      <c r="O24" t="s">
        <v>74</v>
      </c>
      <c r="P24" t="s">
        <v>74</v>
      </c>
      <c r="Q24" t="s">
        <v>74</v>
      </c>
      <c r="R24" t="s">
        <v>74</v>
      </c>
      <c r="S24" t="s">
        <v>74</v>
      </c>
      <c r="T24" t="s">
        <v>74</v>
      </c>
      <c r="U24" t="s">
        <v>394</v>
      </c>
      <c r="V24" t="s">
        <v>395</v>
      </c>
      <c r="W24" t="s">
        <v>396</v>
      </c>
      <c r="X24" t="s">
        <v>397</v>
      </c>
      <c r="Y24" t="s">
        <v>398</v>
      </c>
      <c r="Z24" t="s">
        <v>399</v>
      </c>
      <c r="AA24" t="s">
        <v>400</v>
      </c>
      <c r="AB24" t="s">
        <v>401</v>
      </c>
      <c r="AC24" t="s">
        <v>74</v>
      </c>
      <c r="AD24" t="s">
        <v>74</v>
      </c>
      <c r="AE24" t="s">
        <v>74</v>
      </c>
      <c r="AF24" t="s">
        <v>74</v>
      </c>
      <c r="AG24">
        <v>12</v>
      </c>
      <c r="AH24">
        <v>11</v>
      </c>
      <c r="AI24">
        <v>11</v>
      </c>
      <c r="AJ24">
        <v>0</v>
      </c>
      <c r="AK24">
        <v>4</v>
      </c>
      <c r="AL24" t="s">
        <v>245</v>
      </c>
      <c r="AM24" t="s">
        <v>246</v>
      </c>
      <c r="AN24" t="s">
        <v>247</v>
      </c>
      <c r="AO24" t="s">
        <v>290</v>
      </c>
      <c r="AP24" t="s">
        <v>319</v>
      </c>
      <c r="AQ24" t="s">
        <v>74</v>
      </c>
      <c r="AR24" t="s">
        <v>291</v>
      </c>
      <c r="AS24" t="s">
        <v>292</v>
      </c>
      <c r="AT24" t="s">
        <v>74</v>
      </c>
      <c r="AU24">
        <v>2001</v>
      </c>
      <c r="AV24">
        <v>48</v>
      </c>
      <c r="AW24">
        <v>16</v>
      </c>
      <c r="AX24" t="s">
        <v>74</v>
      </c>
      <c r="AY24" t="s">
        <v>74</v>
      </c>
      <c r="AZ24" t="s">
        <v>74</v>
      </c>
      <c r="BA24" t="s">
        <v>74</v>
      </c>
      <c r="BB24">
        <v>3343</v>
      </c>
      <c r="BC24">
        <v>3352</v>
      </c>
      <c r="BD24" t="s">
        <v>74</v>
      </c>
      <c r="BE24" t="s">
        <v>402</v>
      </c>
      <c r="BF24" t="str">
        <f>HYPERLINK("http://dx.doi.org/10.1016/S0967-0645(01)00044-3","http://dx.doi.org/10.1016/S0967-0645(01)00044-3")</f>
        <v>http://dx.doi.org/10.1016/S0967-0645(01)00044-3</v>
      </c>
      <c r="BG24" t="s">
        <v>74</v>
      </c>
      <c r="BH24" t="s">
        <v>74</v>
      </c>
      <c r="BI24">
        <v>10</v>
      </c>
      <c r="BJ24" t="s">
        <v>252</v>
      </c>
      <c r="BK24" t="s">
        <v>94</v>
      </c>
      <c r="BL24" t="s">
        <v>252</v>
      </c>
      <c r="BM24" t="s">
        <v>403</v>
      </c>
      <c r="BN24" t="s">
        <v>74</v>
      </c>
      <c r="BO24" t="s">
        <v>74</v>
      </c>
      <c r="BP24" t="s">
        <v>74</v>
      </c>
      <c r="BQ24" t="s">
        <v>74</v>
      </c>
      <c r="BR24" t="s">
        <v>97</v>
      </c>
      <c r="BS24" t="s">
        <v>404</v>
      </c>
      <c r="BT24" t="str">
        <f>HYPERLINK("https%3A%2F%2Fwww.webofscience.com%2Fwos%2Fwoscc%2Ffull-record%2FWOS:000171219600004","View Full Record in Web of Science")</f>
        <v>View Full Record in Web of Science</v>
      </c>
    </row>
    <row r="25" spans="1:72" x14ac:dyDescent="0.15">
      <c r="A25" t="s">
        <v>72</v>
      </c>
      <c r="B25" t="s">
        <v>405</v>
      </c>
      <c r="C25" t="s">
        <v>74</v>
      </c>
      <c r="D25" t="s">
        <v>74</v>
      </c>
      <c r="E25" t="s">
        <v>74</v>
      </c>
      <c r="F25" t="s">
        <v>405</v>
      </c>
      <c r="G25" t="s">
        <v>74</v>
      </c>
      <c r="H25" t="s">
        <v>74</v>
      </c>
      <c r="I25" t="s">
        <v>406</v>
      </c>
      <c r="J25" t="s">
        <v>281</v>
      </c>
      <c r="K25" t="s">
        <v>74</v>
      </c>
      <c r="L25" t="s">
        <v>74</v>
      </c>
      <c r="M25" t="s">
        <v>77</v>
      </c>
      <c r="N25" t="s">
        <v>78</v>
      </c>
      <c r="O25" t="s">
        <v>74</v>
      </c>
      <c r="P25" t="s">
        <v>74</v>
      </c>
      <c r="Q25" t="s">
        <v>74</v>
      </c>
      <c r="R25" t="s">
        <v>74</v>
      </c>
      <c r="S25" t="s">
        <v>74</v>
      </c>
      <c r="T25" t="s">
        <v>74</v>
      </c>
      <c r="U25" t="s">
        <v>407</v>
      </c>
      <c r="V25" t="s">
        <v>408</v>
      </c>
      <c r="W25" t="s">
        <v>409</v>
      </c>
      <c r="X25" t="s">
        <v>410</v>
      </c>
      <c r="Y25" t="s">
        <v>411</v>
      </c>
      <c r="Z25" t="s">
        <v>412</v>
      </c>
      <c r="AA25" t="s">
        <v>74</v>
      </c>
      <c r="AB25" t="s">
        <v>413</v>
      </c>
      <c r="AC25" t="s">
        <v>74</v>
      </c>
      <c r="AD25" t="s">
        <v>74</v>
      </c>
      <c r="AE25" t="s">
        <v>74</v>
      </c>
      <c r="AF25" t="s">
        <v>74</v>
      </c>
      <c r="AG25">
        <v>31</v>
      </c>
      <c r="AH25">
        <v>9</v>
      </c>
      <c r="AI25">
        <v>9</v>
      </c>
      <c r="AJ25">
        <v>1</v>
      </c>
      <c r="AK25">
        <v>3</v>
      </c>
      <c r="AL25" t="s">
        <v>245</v>
      </c>
      <c r="AM25" t="s">
        <v>246</v>
      </c>
      <c r="AN25" t="s">
        <v>247</v>
      </c>
      <c r="AO25" t="s">
        <v>290</v>
      </c>
      <c r="AP25" t="s">
        <v>319</v>
      </c>
      <c r="AQ25" t="s">
        <v>74</v>
      </c>
      <c r="AR25" t="s">
        <v>291</v>
      </c>
      <c r="AS25" t="s">
        <v>292</v>
      </c>
      <c r="AT25" t="s">
        <v>74</v>
      </c>
      <c r="AU25">
        <v>2001</v>
      </c>
      <c r="AV25">
        <v>48</v>
      </c>
      <c r="AW25" t="s">
        <v>414</v>
      </c>
      <c r="AX25" t="s">
        <v>74</v>
      </c>
      <c r="AY25" t="s">
        <v>74</v>
      </c>
      <c r="AZ25" t="s">
        <v>74</v>
      </c>
      <c r="BA25" t="s">
        <v>74</v>
      </c>
      <c r="BB25">
        <v>3883</v>
      </c>
      <c r="BC25">
        <v>3889</v>
      </c>
      <c r="BD25" t="s">
        <v>74</v>
      </c>
      <c r="BE25" t="s">
        <v>415</v>
      </c>
      <c r="BF25" t="str">
        <f>HYPERLINK("http://dx.doi.org/10.1016/S0967-0645(01)00072-8","http://dx.doi.org/10.1016/S0967-0645(01)00072-8")</f>
        <v>http://dx.doi.org/10.1016/S0967-0645(01)00072-8</v>
      </c>
      <c r="BG25" t="s">
        <v>74</v>
      </c>
      <c r="BH25" t="s">
        <v>74</v>
      </c>
      <c r="BI25">
        <v>7</v>
      </c>
      <c r="BJ25" t="s">
        <v>252</v>
      </c>
      <c r="BK25" t="s">
        <v>94</v>
      </c>
      <c r="BL25" t="s">
        <v>252</v>
      </c>
      <c r="BM25" t="s">
        <v>416</v>
      </c>
      <c r="BN25" t="s">
        <v>74</v>
      </c>
      <c r="BO25" t="s">
        <v>74</v>
      </c>
      <c r="BP25" t="s">
        <v>74</v>
      </c>
      <c r="BQ25" t="s">
        <v>74</v>
      </c>
      <c r="BR25" t="s">
        <v>97</v>
      </c>
      <c r="BS25" t="s">
        <v>417</v>
      </c>
      <c r="BT25" t="str">
        <f>HYPERLINK("https%3A%2F%2Fwww.webofscience.com%2Fwos%2Fwoscc%2Ffull-record%2FWOS:000172954400001","View Full Record in Web of Science")</f>
        <v>View Full Record in Web of Science</v>
      </c>
    </row>
    <row r="26" spans="1:72" x14ac:dyDescent="0.15">
      <c r="A26" t="s">
        <v>72</v>
      </c>
      <c r="B26" t="s">
        <v>418</v>
      </c>
      <c r="C26" t="s">
        <v>74</v>
      </c>
      <c r="D26" t="s">
        <v>74</v>
      </c>
      <c r="E26" t="s">
        <v>74</v>
      </c>
      <c r="F26" t="s">
        <v>418</v>
      </c>
      <c r="G26" t="s">
        <v>74</v>
      </c>
      <c r="H26" t="s">
        <v>74</v>
      </c>
      <c r="I26" t="s">
        <v>419</v>
      </c>
      <c r="J26" t="s">
        <v>281</v>
      </c>
      <c r="K26" t="s">
        <v>74</v>
      </c>
      <c r="L26" t="s">
        <v>74</v>
      </c>
      <c r="M26" t="s">
        <v>77</v>
      </c>
      <c r="N26" t="s">
        <v>78</v>
      </c>
      <c r="O26" t="s">
        <v>74</v>
      </c>
      <c r="P26" t="s">
        <v>74</v>
      </c>
      <c r="Q26" t="s">
        <v>74</v>
      </c>
      <c r="R26" t="s">
        <v>74</v>
      </c>
      <c r="S26" t="s">
        <v>74</v>
      </c>
      <c r="T26" t="s">
        <v>74</v>
      </c>
      <c r="U26" t="s">
        <v>420</v>
      </c>
      <c r="V26" t="s">
        <v>421</v>
      </c>
      <c r="W26" t="s">
        <v>422</v>
      </c>
      <c r="X26" t="s">
        <v>423</v>
      </c>
      <c r="Y26" t="s">
        <v>424</v>
      </c>
      <c r="Z26" t="s">
        <v>74</v>
      </c>
      <c r="AA26" t="s">
        <v>425</v>
      </c>
      <c r="AB26" t="s">
        <v>74</v>
      </c>
      <c r="AC26" t="s">
        <v>74</v>
      </c>
      <c r="AD26" t="s">
        <v>74</v>
      </c>
      <c r="AE26" t="s">
        <v>74</v>
      </c>
      <c r="AF26" t="s">
        <v>74</v>
      </c>
      <c r="AG26">
        <v>29</v>
      </c>
      <c r="AH26">
        <v>23</v>
      </c>
      <c r="AI26">
        <v>25</v>
      </c>
      <c r="AJ26">
        <v>0</v>
      </c>
      <c r="AK26">
        <v>3</v>
      </c>
      <c r="AL26" t="s">
        <v>245</v>
      </c>
      <c r="AM26" t="s">
        <v>246</v>
      </c>
      <c r="AN26" t="s">
        <v>247</v>
      </c>
      <c r="AO26" t="s">
        <v>290</v>
      </c>
      <c r="AP26" t="s">
        <v>74</v>
      </c>
      <c r="AQ26" t="s">
        <v>74</v>
      </c>
      <c r="AR26" t="s">
        <v>291</v>
      </c>
      <c r="AS26" t="s">
        <v>292</v>
      </c>
      <c r="AT26" t="s">
        <v>74</v>
      </c>
      <c r="AU26">
        <v>2001</v>
      </c>
      <c r="AV26">
        <v>48</v>
      </c>
      <c r="AW26" t="s">
        <v>414</v>
      </c>
      <c r="AX26" t="s">
        <v>74</v>
      </c>
      <c r="AY26" t="s">
        <v>74</v>
      </c>
      <c r="AZ26" t="s">
        <v>74</v>
      </c>
      <c r="BA26" t="s">
        <v>74</v>
      </c>
      <c r="BB26">
        <v>3891</v>
      </c>
      <c r="BC26">
        <v>3912</v>
      </c>
      <c r="BD26" t="s">
        <v>74</v>
      </c>
      <c r="BE26" t="s">
        <v>426</v>
      </c>
      <c r="BF26" t="str">
        <f>HYPERLINK("http://dx.doi.org/10.1016/S0967-0645(01)00073-X","http://dx.doi.org/10.1016/S0967-0645(01)00073-X")</f>
        <v>http://dx.doi.org/10.1016/S0967-0645(01)00073-X</v>
      </c>
      <c r="BG26" t="s">
        <v>74</v>
      </c>
      <c r="BH26" t="s">
        <v>74</v>
      </c>
      <c r="BI26">
        <v>22</v>
      </c>
      <c r="BJ26" t="s">
        <v>252</v>
      </c>
      <c r="BK26" t="s">
        <v>94</v>
      </c>
      <c r="BL26" t="s">
        <v>252</v>
      </c>
      <c r="BM26" t="s">
        <v>416</v>
      </c>
      <c r="BN26" t="s">
        <v>74</v>
      </c>
      <c r="BO26" t="s">
        <v>74</v>
      </c>
      <c r="BP26" t="s">
        <v>74</v>
      </c>
      <c r="BQ26" t="s">
        <v>74</v>
      </c>
      <c r="BR26" t="s">
        <v>97</v>
      </c>
      <c r="BS26" t="s">
        <v>427</v>
      </c>
      <c r="BT26" t="str">
        <f>HYPERLINK("https%3A%2F%2Fwww.webofscience.com%2Fwos%2Fwoscc%2Ffull-record%2FWOS:000172954400002","View Full Record in Web of Science")</f>
        <v>View Full Record in Web of Science</v>
      </c>
    </row>
    <row r="27" spans="1:72" x14ac:dyDescent="0.15">
      <c r="A27" t="s">
        <v>72</v>
      </c>
      <c r="B27" t="s">
        <v>428</v>
      </c>
      <c r="C27" t="s">
        <v>74</v>
      </c>
      <c r="D27" t="s">
        <v>74</v>
      </c>
      <c r="E27" t="s">
        <v>74</v>
      </c>
      <c r="F27" t="s">
        <v>428</v>
      </c>
      <c r="G27" t="s">
        <v>74</v>
      </c>
      <c r="H27" t="s">
        <v>74</v>
      </c>
      <c r="I27" t="s">
        <v>429</v>
      </c>
      <c r="J27" t="s">
        <v>281</v>
      </c>
      <c r="K27" t="s">
        <v>74</v>
      </c>
      <c r="L27" t="s">
        <v>74</v>
      </c>
      <c r="M27" t="s">
        <v>77</v>
      </c>
      <c r="N27" t="s">
        <v>78</v>
      </c>
      <c r="O27" t="s">
        <v>74</v>
      </c>
      <c r="P27" t="s">
        <v>74</v>
      </c>
      <c r="Q27" t="s">
        <v>74</v>
      </c>
      <c r="R27" t="s">
        <v>74</v>
      </c>
      <c r="S27" t="s">
        <v>74</v>
      </c>
      <c r="T27" t="s">
        <v>74</v>
      </c>
      <c r="U27" t="s">
        <v>430</v>
      </c>
      <c r="V27" t="s">
        <v>431</v>
      </c>
      <c r="W27" t="s">
        <v>432</v>
      </c>
      <c r="X27" t="s">
        <v>433</v>
      </c>
      <c r="Y27" t="s">
        <v>434</v>
      </c>
      <c r="Z27" t="s">
        <v>435</v>
      </c>
      <c r="AA27" t="s">
        <v>436</v>
      </c>
      <c r="AB27" t="s">
        <v>437</v>
      </c>
      <c r="AC27" t="s">
        <v>74</v>
      </c>
      <c r="AD27" t="s">
        <v>74</v>
      </c>
      <c r="AE27" t="s">
        <v>74</v>
      </c>
      <c r="AF27" t="s">
        <v>74</v>
      </c>
      <c r="AG27">
        <v>45</v>
      </c>
      <c r="AH27">
        <v>101</v>
      </c>
      <c r="AI27">
        <v>108</v>
      </c>
      <c r="AJ27">
        <v>0</v>
      </c>
      <c r="AK27">
        <v>16</v>
      </c>
      <c r="AL27" t="s">
        <v>245</v>
      </c>
      <c r="AM27" t="s">
        <v>246</v>
      </c>
      <c r="AN27" t="s">
        <v>247</v>
      </c>
      <c r="AO27" t="s">
        <v>290</v>
      </c>
      <c r="AP27" t="s">
        <v>319</v>
      </c>
      <c r="AQ27" t="s">
        <v>74</v>
      </c>
      <c r="AR27" t="s">
        <v>291</v>
      </c>
      <c r="AS27" t="s">
        <v>292</v>
      </c>
      <c r="AT27" t="s">
        <v>74</v>
      </c>
      <c r="AU27">
        <v>2001</v>
      </c>
      <c r="AV27">
        <v>48</v>
      </c>
      <c r="AW27" t="s">
        <v>414</v>
      </c>
      <c r="AX27" t="s">
        <v>74</v>
      </c>
      <c r="AY27" t="s">
        <v>74</v>
      </c>
      <c r="AZ27" t="s">
        <v>74</v>
      </c>
      <c r="BA27" t="s">
        <v>74</v>
      </c>
      <c r="BB27">
        <v>3913</v>
      </c>
      <c r="BC27">
        <v>3941</v>
      </c>
      <c r="BD27" t="s">
        <v>74</v>
      </c>
      <c r="BE27" t="s">
        <v>438</v>
      </c>
      <c r="BF27" t="str">
        <f>HYPERLINK("http://dx.doi.org/10.1016/S0967-0645(01)00074-1","http://dx.doi.org/10.1016/S0967-0645(01)00074-1")</f>
        <v>http://dx.doi.org/10.1016/S0967-0645(01)00074-1</v>
      </c>
      <c r="BG27" t="s">
        <v>74</v>
      </c>
      <c r="BH27" t="s">
        <v>74</v>
      </c>
      <c r="BI27">
        <v>29</v>
      </c>
      <c r="BJ27" t="s">
        <v>252</v>
      </c>
      <c r="BK27" t="s">
        <v>94</v>
      </c>
      <c r="BL27" t="s">
        <v>252</v>
      </c>
      <c r="BM27" t="s">
        <v>416</v>
      </c>
      <c r="BN27" t="s">
        <v>74</v>
      </c>
      <c r="BO27" t="s">
        <v>74</v>
      </c>
      <c r="BP27" t="s">
        <v>74</v>
      </c>
      <c r="BQ27" t="s">
        <v>74</v>
      </c>
      <c r="BR27" t="s">
        <v>97</v>
      </c>
      <c r="BS27" t="s">
        <v>439</v>
      </c>
      <c r="BT27" t="str">
        <f>HYPERLINK("https%3A%2F%2Fwww.webofscience.com%2Fwos%2Fwoscc%2Ffull-record%2FWOS:000172954400003","View Full Record in Web of Science")</f>
        <v>View Full Record in Web of Science</v>
      </c>
    </row>
    <row r="28" spans="1:72" x14ac:dyDescent="0.15">
      <c r="A28" t="s">
        <v>72</v>
      </c>
      <c r="B28" t="s">
        <v>440</v>
      </c>
      <c r="C28" t="s">
        <v>74</v>
      </c>
      <c r="D28" t="s">
        <v>74</v>
      </c>
      <c r="E28" t="s">
        <v>74</v>
      </c>
      <c r="F28" t="s">
        <v>440</v>
      </c>
      <c r="G28" t="s">
        <v>74</v>
      </c>
      <c r="H28" t="s">
        <v>74</v>
      </c>
      <c r="I28" t="s">
        <v>441</v>
      </c>
      <c r="J28" t="s">
        <v>281</v>
      </c>
      <c r="K28" t="s">
        <v>74</v>
      </c>
      <c r="L28" t="s">
        <v>74</v>
      </c>
      <c r="M28" t="s">
        <v>77</v>
      </c>
      <c r="N28" t="s">
        <v>78</v>
      </c>
      <c r="O28" t="s">
        <v>74</v>
      </c>
      <c r="P28" t="s">
        <v>74</v>
      </c>
      <c r="Q28" t="s">
        <v>74</v>
      </c>
      <c r="R28" t="s">
        <v>74</v>
      </c>
      <c r="S28" t="s">
        <v>74</v>
      </c>
      <c r="T28" t="s">
        <v>74</v>
      </c>
      <c r="U28" t="s">
        <v>442</v>
      </c>
      <c r="V28" t="s">
        <v>443</v>
      </c>
      <c r="W28" t="s">
        <v>444</v>
      </c>
      <c r="X28" t="s">
        <v>445</v>
      </c>
      <c r="Y28" t="s">
        <v>446</v>
      </c>
      <c r="Z28" t="s">
        <v>447</v>
      </c>
      <c r="AA28" t="s">
        <v>448</v>
      </c>
      <c r="AB28" t="s">
        <v>74</v>
      </c>
      <c r="AC28" t="s">
        <v>74</v>
      </c>
      <c r="AD28" t="s">
        <v>74</v>
      </c>
      <c r="AE28" t="s">
        <v>74</v>
      </c>
      <c r="AF28" t="s">
        <v>74</v>
      </c>
      <c r="AG28">
        <v>26</v>
      </c>
      <c r="AH28">
        <v>35</v>
      </c>
      <c r="AI28">
        <v>37</v>
      </c>
      <c r="AJ28">
        <v>2</v>
      </c>
      <c r="AK28">
        <v>5</v>
      </c>
      <c r="AL28" t="s">
        <v>245</v>
      </c>
      <c r="AM28" t="s">
        <v>246</v>
      </c>
      <c r="AN28" t="s">
        <v>247</v>
      </c>
      <c r="AO28" t="s">
        <v>290</v>
      </c>
      <c r="AP28" t="s">
        <v>319</v>
      </c>
      <c r="AQ28" t="s">
        <v>74</v>
      </c>
      <c r="AR28" t="s">
        <v>291</v>
      </c>
      <c r="AS28" t="s">
        <v>292</v>
      </c>
      <c r="AT28" t="s">
        <v>74</v>
      </c>
      <c r="AU28">
        <v>2001</v>
      </c>
      <c r="AV28">
        <v>48</v>
      </c>
      <c r="AW28" t="s">
        <v>414</v>
      </c>
      <c r="AX28" t="s">
        <v>74</v>
      </c>
      <c r="AY28" t="s">
        <v>74</v>
      </c>
      <c r="AZ28" t="s">
        <v>74</v>
      </c>
      <c r="BA28" t="s">
        <v>74</v>
      </c>
      <c r="BB28">
        <v>3943</v>
      </c>
      <c r="BC28">
        <v>3972</v>
      </c>
      <c r="BD28" t="s">
        <v>74</v>
      </c>
      <c r="BE28" t="s">
        <v>449</v>
      </c>
      <c r="BF28" t="str">
        <f>HYPERLINK("http://dx.doi.org/10.1016/S0967-0645(01)00075-3","http://dx.doi.org/10.1016/S0967-0645(01)00075-3")</f>
        <v>http://dx.doi.org/10.1016/S0967-0645(01)00075-3</v>
      </c>
      <c r="BG28" t="s">
        <v>74</v>
      </c>
      <c r="BH28" t="s">
        <v>74</v>
      </c>
      <c r="BI28">
        <v>30</v>
      </c>
      <c r="BJ28" t="s">
        <v>252</v>
      </c>
      <c r="BK28" t="s">
        <v>94</v>
      </c>
      <c r="BL28" t="s">
        <v>252</v>
      </c>
      <c r="BM28" t="s">
        <v>416</v>
      </c>
      <c r="BN28" t="s">
        <v>74</v>
      </c>
      <c r="BO28" t="s">
        <v>296</v>
      </c>
      <c r="BP28" t="s">
        <v>74</v>
      </c>
      <c r="BQ28" t="s">
        <v>74</v>
      </c>
      <c r="BR28" t="s">
        <v>97</v>
      </c>
      <c r="BS28" t="s">
        <v>450</v>
      </c>
      <c r="BT28" t="str">
        <f>HYPERLINK("https%3A%2F%2Fwww.webofscience.com%2Fwos%2Fwoscc%2Ffull-record%2FWOS:000172954400004","View Full Record in Web of Science")</f>
        <v>View Full Record in Web of Science</v>
      </c>
    </row>
    <row r="29" spans="1:72" x14ac:dyDescent="0.15">
      <c r="A29" t="s">
        <v>72</v>
      </c>
      <c r="B29" t="s">
        <v>451</v>
      </c>
      <c r="C29" t="s">
        <v>74</v>
      </c>
      <c r="D29" t="s">
        <v>74</v>
      </c>
      <c r="E29" t="s">
        <v>74</v>
      </c>
      <c r="F29" t="s">
        <v>451</v>
      </c>
      <c r="G29" t="s">
        <v>74</v>
      </c>
      <c r="H29" t="s">
        <v>74</v>
      </c>
      <c r="I29" t="s">
        <v>452</v>
      </c>
      <c r="J29" t="s">
        <v>281</v>
      </c>
      <c r="K29" t="s">
        <v>74</v>
      </c>
      <c r="L29" t="s">
        <v>74</v>
      </c>
      <c r="M29" t="s">
        <v>77</v>
      </c>
      <c r="N29" t="s">
        <v>78</v>
      </c>
      <c r="O29" t="s">
        <v>74</v>
      </c>
      <c r="P29" t="s">
        <v>74</v>
      </c>
      <c r="Q29" t="s">
        <v>74</v>
      </c>
      <c r="R29" t="s">
        <v>74</v>
      </c>
      <c r="S29" t="s">
        <v>74</v>
      </c>
      <c r="T29" t="s">
        <v>74</v>
      </c>
      <c r="U29" t="s">
        <v>453</v>
      </c>
      <c r="V29" t="s">
        <v>454</v>
      </c>
      <c r="W29" t="s">
        <v>455</v>
      </c>
      <c r="X29" t="s">
        <v>456</v>
      </c>
      <c r="Y29" t="s">
        <v>457</v>
      </c>
      <c r="Z29" t="s">
        <v>74</v>
      </c>
      <c r="AA29" t="s">
        <v>74</v>
      </c>
      <c r="AB29" t="s">
        <v>74</v>
      </c>
      <c r="AC29" t="s">
        <v>74</v>
      </c>
      <c r="AD29" t="s">
        <v>74</v>
      </c>
      <c r="AE29" t="s">
        <v>74</v>
      </c>
      <c r="AF29" t="s">
        <v>74</v>
      </c>
      <c r="AG29">
        <v>44</v>
      </c>
      <c r="AH29">
        <v>115</v>
      </c>
      <c r="AI29">
        <v>126</v>
      </c>
      <c r="AJ29">
        <v>0</v>
      </c>
      <c r="AK29">
        <v>8</v>
      </c>
      <c r="AL29" t="s">
        <v>245</v>
      </c>
      <c r="AM29" t="s">
        <v>246</v>
      </c>
      <c r="AN29" t="s">
        <v>247</v>
      </c>
      <c r="AO29" t="s">
        <v>290</v>
      </c>
      <c r="AP29" t="s">
        <v>74</v>
      </c>
      <c r="AQ29" t="s">
        <v>74</v>
      </c>
      <c r="AR29" t="s">
        <v>291</v>
      </c>
      <c r="AS29" t="s">
        <v>292</v>
      </c>
      <c r="AT29" t="s">
        <v>74</v>
      </c>
      <c r="AU29">
        <v>2001</v>
      </c>
      <c r="AV29">
        <v>48</v>
      </c>
      <c r="AW29" t="s">
        <v>414</v>
      </c>
      <c r="AX29" t="s">
        <v>74</v>
      </c>
      <c r="AY29" t="s">
        <v>74</v>
      </c>
      <c r="AZ29" t="s">
        <v>74</v>
      </c>
      <c r="BA29" t="s">
        <v>74</v>
      </c>
      <c r="BB29">
        <v>3973</v>
      </c>
      <c r="BC29">
        <v>3995</v>
      </c>
      <c r="BD29" t="s">
        <v>74</v>
      </c>
      <c r="BE29" t="s">
        <v>458</v>
      </c>
      <c r="BF29" t="str">
        <f>HYPERLINK("http://dx.doi.org/10.1016/S0967-0645(01)00076-5","http://dx.doi.org/10.1016/S0967-0645(01)00076-5")</f>
        <v>http://dx.doi.org/10.1016/S0967-0645(01)00076-5</v>
      </c>
      <c r="BG29" t="s">
        <v>74</v>
      </c>
      <c r="BH29" t="s">
        <v>74</v>
      </c>
      <c r="BI29">
        <v>23</v>
      </c>
      <c r="BJ29" t="s">
        <v>252</v>
      </c>
      <c r="BK29" t="s">
        <v>94</v>
      </c>
      <c r="BL29" t="s">
        <v>252</v>
      </c>
      <c r="BM29" t="s">
        <v>416</v>
      </c>
      <c r="BN29" t="s">
        <v>74</v>
      </c>
      <c r="BO29" t="s">
        <v>74</v>
      </c>
      <c r="BP29" t="s">
        <v>74</v>
      </c>
      <c r="BQ29" t="s">
        <v>74</v>
      </c>
      <c r="BR29" t="s">
        <v>97</v>
      </c>
      <c r="BS29" t="s">
        <v>459</v>
      </c>
      <c r="BT29" t="str">
        <f>HYPERLINK("https%3A%2F%2Fwww.webofscience.com%2Fwos%2Fwoscc%2Ffull-record%2FWOS:000172954400005","View Full Record in Web of Science")</f>
        <v>View Full Record in Web of Science</v>
      </c>
    </row>
    <row r="30" spans="1:72" x14ac:dyDescent="0.15">
      <c r="A30" t="s">
        <v>72</v>
      </c>
      <c r="B30" t="s">
        <v>460</v>
      </c>
      <c r="C30" t="s">
        <v>74</v>
      </c>
      <c r="D30" t="s">
        <v>74</v>
      </c>
      <c r="E30" t="s">
        <v>74</v>
      </c>
      <c r="F30" t="s">
        <v>460</v>
      </c>
      <c r="G30" t="s">
        <v>74</v>
      </c>
      <c r="H30" t="s">
        <v>74</v>
      </c>
      <c r="I30" t="s">
        <v>461</v>
      </c>
      <c r="J30" t="s">
        <v>281</v>
      </c>
      <c r="K30" t="s">
        <v>74</v>
      </c>
      <c r="L30" t="s">
        <v>74</v>
      </c>
      <c r="M30" t="s">
        <v>77</v>
      </c>
      <c r="N30" t="s">
        <v>78</v>
      </c>
      <c r="O30" t="s">
        <v>74</v>
      </c>
      <c r="P30" t="s">
        <v>74</v>
      </c>
      <c r="Q30" t="s">
        <v>74</v>
      </c>
      <c r="R30" t="s">
        <v>74</v>
      </c>
      <c r="S30" t="s">
        <v>74</v>
      </c>
      <c r="T30" t="s">
        <v>74</v>
      </c>
      <c r="U30" t="s">
        <v>462</v>
      </c>
      <c r="V30" t="s">
        <v>463</v>
      </c>
      <c r="W30" t="s">
        <v>464</v>
      </c>
      <c r="X30" t="s">
        <v>465</v>
      </c>
      <c r="Y30" t="s">
        <v>466</v>
      </c>
      <c r="Z30" t="s">
        <v>74</v>
      </c>
      <c r="AA30" t="s">
        <v>74</v>
      </c>
      <c r="AB30" t="s">
        <v>74</v>
      </c>
      <c r="AC30" t="s">
        <v>74</v>
      </c>
      <c r="AD30" t="s">
        <v>74</v>
      </c>
      <c r="AE30" t="s">
        <v>74</v>
      </c>
      <c r="AF30" t="s">
        <v>74</v>
      </c>
      <c r="AG30">
        <v>52</v>
      </c>
      <c r="AH30">
        <v>124</v>
      </c>
      <c r="AI30">
        <v>138</v>
      </c>
      <c r="AJ30">
        <v>0</v>
      </c>
      <c r="AK30">
        <v>18</v>
      </c>
      <c r="AL30" t="s">
        <v>245</v>
      </c>
      <c r="AM30" t="s">
        <v>246</v>
      </c>
      <c r="AN30" t="s">
        <v>247</v>
      </c>
      <c r="AO30" t="s">
        <v>290</v>
      </c>
      <c r="AP30" t="s">
        <v>74</v>
      </c>
      <c r="AQ30" t="s">
        <v>74</v>
      </c>
      <c r="AR30" t="s">
        <v>291</v>
      </c>
      <c r="AS30" t="s">
        <v>292</v>
      </c>
      <c r="AT30" t="s">
        <v>74</v>
      </c>
      <c r="AU30">
        <v>2001</v>
      </c>
      <c r="AV30">
        <v>48</v>
      </c>
      <c r="AW30" t="s">
        <v>414</v>
      </c>
      <c r="AX30" t="s">
        <v>74</v>
      </c>
      <c r="AY30" t="s">
        <v>74</v>
      </c>
      <c r="AZ30" t="s">
        <v>74</v>
      </c>
      <c r="BA30" t="s">
        <v>74</v>
      </c>
      <c r="BB30">
        <v>3997</v>
      </c>
      <c r="BC30">
        <v>4018</v>
      </c>
      <c r="BD30" t="s">
        <v>74</v>
      </c>
      <c r="BE30" t="s">
        <v>467</v>
      </c>
      <c r="BF30" t="str">
        <f>HYPERLINK("http://dx.doi.org/10.1016/S0967-0645(01)00078-9","http://dx.doi.org/10.1016/S0967-0645(01)00078-9")</f>
        <v>http://dx.doi.org/10.1016/S0967-0645(01)00078-9</v>
      </c>
      <c r="BG30" t="s">
        <v>74</v>
      </c>
      <c r="BH30" t="s">
        <v>74</v>
      </c>
      <c r="BI30">
        <v>22</v>
      </c>
      <c r="BJ30" t="s">
        <v>252</v>
      </c>
      <c r="BK30" t="s">
        <v>94</v>
      </c>
      <c r="BL30" t="s">
        <v>252</v>
      </c>
      <c r="BM30" t="s">
        <v>416</v>
      </c>
      <c r="BN30" t="s">
        <v>74</v>
      </c>
      <c r="BO30" t="s">
        <v>74</v>
      </c>
      <c r="BP30" t="s">
        <v>74</v>
      </c>
      <c r="BQ30" t="s">
        <v>74</v>
      </c>
      <c r="BR30" t="s">
        <v>97</v>
      </c>
      <c r="BS30" t="s">
        <v>468</v>
      </c>
      <c r="BT30" t="str">
        <f>HYPERLINK("https%3A%2F%2Fwww.webofscience.com%2Fwos%2Fwoscc%2Ffull-record%2FWOS:000172954400006","View Full Record in Web of Science")</f>
        <v>View Full Record in Web of Science</v>
      </c>
    </row>
    <row r="31" spans="1:72" x14ac:dyDescent="0.15">
      <c r="A31" t="s">
        <v>72</v>
      </c>
      <c r="B31" t="s">
        <v>469</v>
      </c>
      <c r="C31" t="s">
        <v>74</v>
      </c>
      <c r="D31" t="s">
        <v>74</v>
      </c>
      <c r="E31" t="s">
        <v>74</v>
      </c>
      <c r="F31" t="s">
        <v>469</v>
      </c>
      <c r="G31" t="s">
        <v>74</v>
      </c>
      <c r="H31" t="s">
        <v>74</v>
      </c>
      <c r="I31" t="s">
        <v>470</v>
      </c>
      <c r="J31" t="s">
        <v>281</v>
      </c>
      <c r="K31" t="s">
        <v>74</v>
      </c>
      <c r="L31" t="s">
        <v>74</v>
      </c>
      <c r="M31" t="s">
        <v>77</v>
      </c>
      <c r="N31" t="s">
        <v>78</v>
      </c>
      <c r="O31" t="s">
        <v>74</v>
      </c>
      <c r="P31" t="s">
        <v>74</v>
      </c>
      <c r="Q31" t="s">
        <v>74</v>
      </c>
      <c r="R31" t="s">
        <v>74</v>
      </c>
      <c r="S31" t="s">
        <v>74</v>
      </c>
      <c r="T31" t="s">
        <v>74</v>
      </c>
      <c r="U31" t="s">
        <v>471</v>
      </c>
      <c r="V31" t="s">
        <v>472</v>
      </c>
      <c r="W31" t="s">
        <v>473</v>
      </c>
      <c r="X31" t="s">
        <v>474</v>
      </c>
      <c r="Y31" t="s">
        <v>475</v>
      </c>
      <c r="Z31" t="s">
        <v>476</v>
      </c>
      <c r="AA31" t="s">
        <v>477</v>
      </c>
      <c r="AB31" t="s">
        <v>478</v>
      </c>
      <c r="AC31" t="s">
        <v>74</v>
      </c>
      <c r="AD31" t="s">
        <v>74</v>
      </c>
      <c r="AE31" t="s">
        <v>74</v>
      </c>
      <c r="AF31" t="s">
        <v>74</v>
      </c>
      <c r="AG31">
        <v>51</v>
      </c>
      <c r="AH31">
        <v>45</v>
      </c>
      <c r="AI31">
        <v>48</v>
      </c>
      <c r="AJ31">
        <v>0</v>
      </c>
      <c r="AK31">
        <v>10</v>
      </c>
      <c r="AL31" t="s">
        <v>245</v>
      </c>
      <c r="AM31" t="s">
        <v>246</v>
      </c>
      <c r="AN31" t="s">
        <v>247</v>
      </c>
      <c r="AO31" t="s">
        <v>290</v>
      </c>
      <c r="AP31" t="s">
        <v>74</v>
      </c>
      <c r="AQ31" t="s">
        <v>74</v>
      </c>
      <c r="AR31" t="s">
        <v>291</v>
      </c>
      <c r="AS31" t="s">
        <v>292</v>
      </c>
      <c r="AT31" t="s">
        <v>74</v>
      </c>
      <c r="AU31">
        <v>2001</v>
      </c>
      <c r="AV31">
        <v>48</v>
      </c>
      <c r="AW31" t="s">
        <v>414</v>
      </c>
      <c r="AX31" t="s">
        <v>74</v>
      </c>
      <c r="AY31" t="s">
        <v>74</v>
      </c>
      <c r="AZ31" t="s">
        <v>74</v>
      </c>
      <c r="BA31" t="s">
        <v>74</v>
      </c>
      <c r="BB31">
        <v>4059</v>
      </c>
      <c r="BC31">
        <v>4080</v>
      </c>
      <c r="BD31" t="s">
        <v>74</v>
      </c>
      <c r="BE31" t="s">
        <v>479</v>
      </c>
      <c r="BF31" t="str">
        <f>HYPERLINK("http://dx.doi.org/10.1016/S0967-0645(01)00077-7","http://dx.doi.org/10.1016/S0967-0645(01)00077-7")</f>
        <v>http://dx.doi.org/10.1016/S0967-0645(01)00077-7</v>
      </c>
      <c r="BG31" t="s">
        <v>74</v>
      </c>
      <c r="BH31" t="s">
        <v>74</v>
      </c>
      <c r="BI31">
        <v>22</v>
      </c>
      <c r="BJ31" t="s">
        <v>252</v>
      </c>
      <c r="BK31" t="s">
        <v>94</v>
      </c>
      <c r="BL31" t="s">
        <v>252</v>
      </c>
      <c r="BM31" t="s">
        <v>416</v>
      </c>
      <c r="BN31" t="s">
        <v>74</v>
      </c>
      <c r="BO31" t="s">
        <v>74</v>
      </c>
      <c r="BP31" t="s">
        <v>74</v>
      </c>
      <c r="BQ31" t="s">
        <v>74</v>
      </c>
      <c r="BR31" t="s">
        <v>97</v>
      </c>
      <c r="BS31" t="s">
        <v>480</v>
      </c>
      <c r="BT31" t="str">
        <f>HYPERLINK("https%3A%2F%2Fwww.webofscience.com%2Fwos%2Fwoscc%2Ffull-record%2FWOS:000172954400009","View Full Record in Web of Science")</f>
        <v>View Full Record in Web of Science</v>
      </c>
    </row>
    <row r="32" spans="1:72" x14ac:dyDescent="0.15">
      <c r="A32" t="s">
        <v>72</v>
      </c>
      <c r="B32" t="s">
        <v>481</v>
      </c>
      <c r="C32" t="s">
        <v>74</v>
      </c>
      <c r="D32" t="s">
        <v>74</v>
      </c>
      <c r="E32" t="s">
        <v>74</v>
      </c>
      <c r="F32" t="s">
        <v>481</v>
      </c>
      <c r="G32" t="s">
        <v>74</v>
      </c>
      <c r="H32" t="s">
        <v>74</v>
      </c>
      <c r="I32" t="s">
        <v>482</v>
      </c>
      <c r="J32" t="s">
        <v>281</v>
      </c>
      <c r="K32" t="s">
        <v>74</v>
      </c>
      <c r="L32" t="s">
        <v>74</v>
      </c>
      <c r="M32" t="s">
        <v>77</v>
      </c>
      <c r="N32" t="s">
        <v>78</v>
      </c>
      <c r="O32" t="s">
        <v>74</v>
      </c>
      <c r="P32" t="s">
        <v>74</v>
      </c>
      <c r="Q32" t="s">
        <v>74</v>
      </c>
      <c r="R32" t="s">
        <v>74</v>
      </c>
      <c r="S32" t="s">
        <v>74</v>
      </c>
      <c r="T32" t="s">
        <v>74</v>
      </c>
      <c r="U32" t="s">
        <v>483</v>
      </c>
      <c r="V32" t="s">
        <v>484</v>
      </c>
      <c r="W32" t="s">
        <v>485</v>
      </c>
      <c r="X32" t="s">
        <v>486</v>
      </c>
      <c r="Y32" t="s">
        <v>487</v>
      </c>
      <c r="Z32" t="s">
        <v>488</v>
      </c>
      <c r="AA32" t="s">
        <v>489</v>
      </c>
      <c r="AB32" t="s">
        <v>490</v>
      </c>
      <c r="AC32" t="s">
        <v>74</v>
      </c>
      <c r="AD32" t="s">
        <v>74</v>
      </c>
      <c r="AE32" t="s">
        <v>74</v>
      </c>
      <c r="AF32" t="s">
        <v>74</v>
      </c>
      <c r="AG32">
        <v>56</v>
      </c>
      <c r="AH32">
        <v>28</v>
      </c>
      <c r="AI32">
        <v>29</v>
      </c>
      <c r="AJ32">
        <v>1</v>
      </c>
      <c r="AK32">
        <v>10</v>
      </c>
      <c r="AL32" t="s">
        <v>245</v>
      </c>
      <c r="AM32" t="s">
        <v>246</v>
      </c>
      <c r="AN32" t="s">
        <v>247</v>
      </c>
      <c r="AO32" t="s">
        <v>290</v>
      </c>
      <c r="AP32" t="s">
        <v>319</v>
      </c>
      <c r="AQ32" t="s">
        <v>74</v>
      </c>
      <c r="AR32" t="s">
        <v>291</v>
      </c>
      <c r="AS32" t="s">
        <v>292</v>
      </c>
      <c r="AT32" t="s">
        <v>74</v>
      </c>
      <c r="AU32">
        <v>2001</v>
      </c>
      <c r="AV32">
        <v>48</v>
      </c>
      <c r="AW32" t="s">
        <v>414</v>
      </c>
      <c r="AX32" t="s">
        <v>74</v>
      </c>
      <c r="AY32" t="s">
        <v>74</v>
      </c>
      <c r="AZ32" t="s">
        <v>74</v>
      </c>
      <c r="BA32" t="s">
        <v>74</v>
      </c>
      <c r="BB32">
        <v>4081</v>
      </c>
      <c r="BC32">
        <v>4100</v>
      </c>
      <c r="BD32" t="s">
        <v>74</v>
      </c>
      <c r="BE32" t="s">
        <v>491</v>
      </c>
      <c r="BF32" t="str">
        <f>HYPERLINK("http://dx.doi.org/10.1016/S0967-0645(01)00081-9","http://dx.doi.org/10.1016/S0967-0645(01)00081-9")</f>
        <v>http://dx.doi.org/10.1016/S0967-0645(01)00081-9</v>
      </c>
      <c r="BG32" t="s">
        <v>74</v>
      </c>
      <c r="BH32" t="s">
        <v>74</v>
      </c>
      <c r="BI32">
        <v>20</v>
      </c>
      <c r="BJ32" t="s">
        <v>252</v>
      </c>
      <c r="BK32" t="s">
        <v>94</v>
      </c>
      <c r="BL32" t="s">
        <v>252</v>
      </c>
      <c r="BM32" t="s">
        <v>416</v>
      </c>
      <c r="BN32" t="s">
        <v>74</v>
      </c>
      <c r="BO32" t="s">
        <v>74</v>
      </c>
      <c r="BP32" t="s">
        <v>74</v>
      </c>
      <c r="BQ32" t="s">
        <v>74</v>
      </c>
      <c r="BR32" t="s">
        <v>97</v>
      </c>
      <c r="BS32" t="s">
        <v>492</v>
      </c>
      <c r="BT32" t="str">
        <f>HYPERLINK("https%3A%2F%2Fwww.webofscience.com%2Fwos%2Fwoscc%2Ffull-record%2FWOS:000172954400010","View Full Record in Web of Science")</f>
        <v>View Full Record in Web of Science</v>
      </c>
    </row>
    <row r="33" spans="1:72" x14ac:dyDescent="0.15">
      <c r="A33" t="s">
        <v>72</v>
      </c>
      <c r="B33" t="s">
        <v>493</v>
      </c>
      <c r="C33" t="s">
        <v>74</v>
      </c>
      <c r="D33" t="s">
        <v>74</v>
      </c>
      <c r="E33" t="s">
        <v>74</v>
      </c>
      <c r="F33" t="s">
        <v>493</v>
      </c>
      <c r="G33" t="s">
        <v>74</v>
      </c>
      <c r="H33" t="s">
        <v>74</v>
      </c>
      <c r="I33" t="s">
        <v>494</v>
      </c>
      <c r="J33" t="s">
        <v>281</v>
      </c>
      <c r="K33" t="s">
        <v>74</v>
      </c>
      <c r="L33" t="s">
        <v>74</v>
      </c>
      <c r="M33" t="s">
        <v>77</v>
      </c>
      <c r="N33" t="s">
        <v>78</v>
      </c>
      <c r="O33" t="s">
        <v>74</v>
      </c>
      <c r="P33" t="s">
        <v>74</v>
      </c>
      <c r="Q33" t="s">
        <v>74</v>
      </c>
      <c r="R33" t="s">
        <v>74</v>
      </c>
      <c r="S33" t="s">
        <v>74</v>
      </c>
      <c r="T33" t="s">
        <v>74</v>
      </c>
      <c r="U33" t="s">
        <v>495</v>
      </c>
      <c r="V33" t="s">
        <v>496</v>
      </c>
      <c r="W33" t="s">
        <v>497</v>
      </c>
      <c r="X33" t="s">
        <v>498</v>
      </c>
      <c r="Y33" t="s">
        <v>499</v>
      </c>
      <c r="Z33" t="s">
        <v>74</v>
      </c>
      <c r="AA33" t="s">
        <v>74</v>
      </c>
      <c r="AB33" t="s">
        <v>74</v>
      </c>
      <c r="AC33" t="s">
        <v>74</v>
      </c>
      <c r="AD33" t="s">
        <v>74</v>
      </c>
      <c r="AE33" t="s">
        <v>74</v>
      </c>
      <c r="AF33" t="s">
        <v>74</v>
      </c>
      <c r="AG33">
        <v>48</v>
      </c>
      <c r="AH33">
        <v>24</v>
      </c>
      <c r="AI33">
        <v>26</v>
      </c>
      <c r="AJ33">
        <v>1</v>
      </c>
      <c r="AK33">
        <v>5</v>
      </c>
      <c r="AL33" t="s">
        <v>245</v>
      </c>
      <c r="AM33" t="s">
        <v>246</v>
      </c>
      <c r="AN33" t="s">
        <v>247</v>
      </c>
      <c r="AO33" t="s">
        <v>290</v>
      </c>
      <c r="AP33" t="s">
        <v>74</v>
      </c>
      <c r="AQ33" t="s">
        <v>74</v>
      </c>
      <c r="AR33" t="s">
        <v>291</v>
      </c>
      <c r="AS33" t="s">
        <v>292</v>
      </c>
      <c r="AT33" t="s">
        <v>74</v>
      </c>
      <c r="AU33">
        <v>2001</v>
      </c>
      <c r="AV33">
        <v>48</v>
      </c>
      <c r="AW33" t="s">
        <v>414</v>
      </c>
      <c r="AX33" t="s">
        <v>74</v>
      </c>
      <c r="AY33" t="s">
        <v>74</v>
      </c>
      <c r="AZ33" t="s">
        <v>74</v>
      </c>
      <c r="BA33" t="s">
        <v>74</v>
      </c>
      <c r="BB33">
        <v>4101</v>
      </c>
      <c r="BC33">
        <v>4126</v>
      </c>
      <c r="BD33" t="s">
        <v>74</v>
      </c>
      <c r="BE33" t="s">
        <v>500</v>
      </c>
      <c r="BF33" t="str">
        <f>HYPERLINK("http://dx.doi.org/10.1016/S0967-0645(01)00082-0","http://dx.doi.org/10.1016/S0967-0645(01)00082-0")</f>
        <v>http://dx.doi.org/10.1016/S0967-0645(01)00082-0</v>
      </c>
      <c r="BG33" t="s">
        <v>74</v>
      </c>
      <c r="BH33" t="s">
        <v>74</v>
      </c>
      <c r="BI33">
        <v>26</v>
      </c>
      <c r="BJ33" t="s">
        <v>252</v>
      </c>
      <c r="BK33" t="s">
        <v>94</v>
      </c>
      <c r="BL33" t="s">
        <v>252</v>
      </c>
      <c r="BM33" t="s">
        <v>416</v>
      </c>
      <c r="BN33" t="s">
        <v>74</v>
      </c>
      <c r="BO33" t="s">
        <v>74</v>
      </c>
      <c r="BP33" t="s">
        <v>74</v>
      </c>
      <c r="BQ33" t="s">
        <v>74</v>
      </c>
      <c r="BR33" t="s">
        <v>97</v>
      </c>
      <c r="BS33" t="s">
        <v>501</v>
      </c>
      <c r="BT33" t="str">
        <f>HYPERLINK("https%3A%2F%2Fwww.webofscience.com%2Fwos%2Fwoscc%2Ffull-record%2FWOS:000172954400011","View Full Record in Web of Science")</f>
        <v>View Full Record in Web of Science</v>
      </c>
    </row>
    <row r="34" spans="1:72" x14ac:dyDescent="0.15">
      <c r="A34" t="s">
        <v>72</v>
      </c>
      <c r="B34" t="s">
        <v>502</v>
      </c>
      <c r="C34" t="s">
        <v>74</v>
      </c>
      <c r="D34" t="s">
        <v>74</v>
      </c>
      <c r="E34" t="s">
        <v>74</v>
      </c>
      <c r="F34" t="s">
        <v>502</v>
      </c>
      <c r="G34" t="s">
        <v>74</v>
      </c>
      <c r="H34" t="s">
        <v>74</v>
      </c>
      <c r="I34" t="s">
        <v>503</v>
      </c>
      <c r="J34" t="s">
        <v>281</v>
      </c>
      <c r="K34" t="s">
        <v>74</v>
      </c>
      <c r="L34" t="s">
        <v>74</v>
      </c>
      <c r="M34" t="s">
        <v>77</v>
      </c>
      <c r="N34" t="s">
        <v>78</v>
      </c>
      <c r="O34" t="s">
        <v>74</v>
      </c>
      <c r="P34" t="s">
        <v>74</v>
      </c>
      <c r="Q34" t="s">
        <v>74</v>
      </c>
      <c r="R34" t="s">
        <v>74</v>
      </c>
      <c r="S34" t="s">
        <v>74</v>
      </c>
      <c r="T34" t="s">
        <v>74</v>
      </c>
      <c r="U34" t="s">
        <v>504</v>
      </c>
      <c r="V34" t="s">
        <v>505</v>
      </c>
      <c r="W34" t="s">
        <v>506</v>
      </c>
      <c r="X34" t="s">
        <v>507</v>
      </c>
      <c r="Y34" t="s">
        <v>508</v>
      </c>
      <c r="Z34" t="s">
        <v>74</v>
      </c>
      <c r="AA34" t="s">
        <v>509</v>
      </c>
      <c r="AB34" t="s">
        <v>510</v>
      </c>
      <c r="AC34" t="s">
        <v>74</v>
      </c>
      <c r="AD34" t="s">
        <v>74</v>
      </c>
      <c r="AE34" t="s">
        <v>74</v>
      </c>
      <c r="AF34" t="s">
        <v>74</v>
      </c>
      <c r="AG34">
        <v>52</v>
      </c>
      <c r="AH34">
        <v>126</v>
      </c>
      <c r="AI34">
        <v>137</v>
      </c>
      <c r="AJ34">
        <v>2</v>
      </c>
      <c r="AK34">
        <v>24</v>
      </c>
      <c r="AL34" t="s">
        <v>245</v>
      </c>
      <c r="AM34" t="s">
        <v>246</v>
      </c>
      <c r="AN34" t="s">
        <v>247</v>
      </c>
      <c r="AO34" t="s">
        <v>290</v>
      </c>
      <c r="AP34" t="s">
        <v>74</v>
      </c>
      <c r="AQ34" t="s">
        <v>74</v>
      </c>
      <c r="AR34" t="s">
        <v>291</v>
      </c>
      <c r="AS34" t="s">
        <v>292</v>
      </c>
      <c r="AT34" t="s">
        <v>74</v>
      </c>
      <c r="AU34">
        <v>2001</v>
      </c>
      <c r="AV34">
        <v>48</v>
      </c>
      <c r="AW34" t="s">
        <v>414</v>
      </c>
      <c r="AX34" t="s">
        <v>74</v>
      </c>
      <c r="AY34" t="s">
        <v>74</v>
      </c>
      <c r="AZ34" t="s">
        <v>74</v>
      </c>
      <c r="BA34" t="s">
        <v>74</v>
      </c>
      <c r="BB34">
        <v>4179</v>
      </c>
      <c r="BC34">
        <v>4197</v>
      </c>
      <c r="BD34" t="s">
        <v>74</v>
      </c>
      <c r="BE34" t="s">
        <v>511</v>
      </c>
      <c r="BF34" t="str">
        <f>HYPERLINK("http://dx.doi.org/10.1016/S0967-0645(01)00085-6","http://dx.doi.org/10.1016/S0967-0645(01)00085-6")</f>
        <v>http://dx.doi.org/10.1016/S0967-0645(01)00085-6</v>
      </c>
      <c r="BG34" t="s">
        <v>74</v>
      </c>
      <c r="BH34" t="s">
        <v>74</v>
      </c>
      <c r="BI34">
        <v>19</v>
      </c>
      <c r="BJ34" t="s">
        <v>252</v>
      </c>
      <c r="BK34" t="s">
        <v>94</v>
      </c>
      <c r="BL34" t="s">
        <v>252</v>
      </c>
      <c r="BM34" t="s">
        <v>416</v>
      </c>
      <c r="BN34" t="s">
        <v>74</v>
      </c>
      <c r="BO34" t="s">
        <v>74</v>
      </c>
      <c r="BP34" t="s">
        <v>74</v>
      </c>
      <c r="BQ34" t="s">
        <v>74</v>
      </c>
      <c r="BR34" t="s">
        <v>97</v>
      </c>
      <c r="BS34" t="s">
        <v>512</v>
      </c>
      <c r="BT34" t="str">
        <f>HYPERLINK("https%3A%2F%2Fwww.webofscience.com%2Fwos%2Fwoscc%2Ffull-record%2FWOS:000172954400014","View Full Record in Web of Science")</f>
        <v>View Full Record in Web of Science</v>
      </c>
    </row>
    <row r="35" spans="1:72" x14ac:dyDescent="0.15">
      <c r="A35" t="s">
        <v>72</v>
      </c>
      <c r="B35" t="s">
        <v>513</v>
      </c>
      <c r="C35" t="s">
        <v>74</v>
      </c>
      <c r="D35" t="s">
        <v>74</v>
      </c>
      <c r="E35" t="s">
        <v>74</v>
      </c>
      <c r="F35" t="s">
        <v>513</v>
      </c>
      <c r="G35" t="s">
        <v>74</v>
      </c>
      <c r="H35" t="s">
        <v>74</v>
      </c>
      <c r="I35" t="s">
        <v>514</v>
      </c>
      <c r="J35" t="s">
        <v>281</v>
      </c>
      <c r="K35" t="s">
        <v>74</v>
      </c>
      <c r="L35" t="s">
        <v>74</v>
      </c>
      <c r="M35" t="s">
        <v>77</v>
      </c>
      <c r="N35" t="s">
        <v>78</v>
      </c>
      <c r="O35" t="s">
        <v>74</v>
      </c>
      <c r="P35" t="s">
        <v>74</v>
      </c>
      <c r="Q35" t="s">
        <v>74</v>
      </c>
      <c r="R35" t="s">
        <v>74</v>
      </c>
      <c r="S35" t="s">
        <v>74</v>
      </c>
      <c r="T35" t="s">
        <v>74</v>
      </c>
      <c r="U35" t="s">
        <v>515</v>
      </c>
      <c r="V35" t="s">
        <v>516</v>
      </c>
      <c r="W35" t="s">
        <v>517</v>
      </c>
      <c r="X35" t="s">
        <v>74</v>
      </c>
      <c r="Y35" t="s">
        <v>518</v>
      </c>
      <c r="Z35" t="s">
        <v>519</v>
      </c>
      <c r="AA35" t="s">
        <v>74</v>
      </c>
      <c r="AB35" t="s">
        <v>74</v>
      </c>
      <c r="AC35" t="s">
        <v>74</v>
      </c>
      <c r="AD35" t="s">
        <v>74</v>
      </c>
      <c r="AE35" t="s">
        <v>74</v>
      </c>
      <c r="AF35" t="s">
        <v>74</v>
      </c>
      <c r="AG35">
        <v>53</v>
      </c>
      <c r="AH35">
        <v>32</v>
      </c>
      <c r="AI35">
        <v>36</v>
      </c>
      <c r="AJ35">
        <v>0</v>
      </c>
      <c r="AK35">
        <v>13</v>
      </c>
      <c r="AL35" t="s">
        <v>245</v>
      </c>
      <c r="AM35" t="s">
        <v>246</v>
      </c>
      <c r="AN35" t="s">
        <v>247</v>
      </c>
      <c r="AO35" t="s">
        <v>290</v>
      </c>
      <c r="AP35" t="s">
        <v>319</v>
      </c>
      <c r="AQ35" t="s">
        <v>74</v>
      </c>
      <c r="AR35" t="s">
        <v>291</v>
      </c>
      <c r="AS35" t="s">
        <v>292</v>
      </c>
      <c r="AT35" t="s">
        <v>74</v>
      </c>
      <c r="AU35">
        <v>2001</v>
      </c>
      <c r="AV35">
        <v>48</v>
      </c>
      <c r="AW35" t="s">
        <v>414</v>
      </c>
      <c r="AX35" t="s">
        <v>74</v>
      </c>
      <c r="AY35" t="s">
        <v>74</v>
      </c>
      <c r="AZ35" t="s">
        <v>74</v>
      </c>
      <c r="BA35" t="s">
        <v>74</v>
      </c>
      <c r="BB35">
        <v>4223</v>
      </c>
      <c r="BC35">
        <v>4246</v>
      </c>
      <c r="BD35" t="s">
        <v>74</v>
      </c>
      <c r="BE35" t="s">
        <v>520</v>
      </c>
      <c r="BF35" t="str">
        <f>HYPERLINK("http://dx.doi.org/10.1016/S0967-0645(01)00087-X","http://dx.doi.org/10.1016/S0967-0645(01)00087-X")</f>
        <v>http://dx.doi.org/10.1016/S0967-0645(01)00087-X</v>
      </c>
      <c r="BG35" t="s">
        <v>74</v>
      </c>
      <c r="BH35" t="s">
        <v>74</v>
      </c>
      <c r="BI35">
        <v>24</v>
      </c>
      <c r="BJ35" t="s">
        <v>252</v>
      </c>
      <c r="BK35" t="s">
        <v>94</v>
      </c>
      <c r="BL35" t="s">
        <v>252</v>
      </c>
      <c r="BM35" t="s">
        <v>416</v>
      </c>
      <c r="BN35" t="s">
        <v>74</v>
      </c>
      <c r="BO35" t="s">
        <v>74</v>
      </c>
      <c r="BP35" t="s">
        <v>74</v>
      </c>
      <c r="BQ35" t="s">
        <v>74</v>
      </c>
      <c r="BR35" t="s">
        <v>97</v>
      </c>
      <c r="BS35" t="s">
        <v>521</v>
      </c>
      <c r="BT35" t="str">
        <f>HYPERLINK("https%3A%2F%2Fwww.webofscience.com%2Fwos%2Fwoscc%2Ffull-record%2FWOS:000172954400016","View Full Record in Web of Science")</f>
        <v>View Full Record in Web of Science</v>
      </c>
    </row>
    <row r="36" spans="1:72" x14ac:dyDescent="0.15">
      <c r="A36" t="s">
        <v>72</v>
      </c>
      <c r="B36" t="s">
        <v>522</v>
      </c>
      <c r="C36" t="s">
        <v>74</v>
      </c>
      <c r="D36" t="s">
        <v>74</v>
      </c>
      <c r="E36" t="s">
        <v>74</v>
      </c>
      <c r="F36" t="s">
        <v>522</v>
      </c>
      <c r="G36" t="s">
        <v>74</v>
      </c>
      <c r="H36" t="s">
        <v>74</v>
      </c>
      <c r="I36" t="s">
        <v>523</v>
      </c>
      <c r="J36" t="s">
        <v>281</v>
      </c>
      <c r="K36" t="s">
        <v>74</v>
      </c>
      <c r="L36" t="s">
        <v>74</v>
      </c>
      <c r="M36" t="s">
        <v>77</v>
      </c>
      <c r="N36" t="s">
        <v>78</v>
      </c>
      <c r="O36" t="s">
        <v>74</v>
      </c>
      <c r="P36" t="s">
        <v>74</v>
      </c>
      <c r="Q36" t="s">
        <v>74</v>
      </c>
      <c r="R36" t="s">
        <v>74</v>
      </c>
      <c r="S36" t="s">
        <v>74</v>
      </c>
      <c r="T36" t="s">
        <v>74</v>
      </c>
      <c r="U36" t="s">
        <v>524</v>
      </c>
      <c r="V36" t="s">
        <v>525</v>
      </c>
      <c r="W36" t="s">
        <v>526</v>
      </c>
      <c r="X36" t="s">
        <v>527</v>
      </c>
      <c r="Y36" t="s">
        <v>528</v>
      </c>
      <c r="Z36" t="s">
        <v>74</v>
      </c>
      <c r="AA36" t="s">
        <v>74</v>
      </c>
      <c r="AB36" t="s">
        <v>74</v>
      </c>
      <c r="AC36" t="s">
        <v>74</v>
      </c>
      <c r="AD36" t="s">
        <v>74</v>
      </c>
      <c r="AE36" t="s">
        <v>74</v>
      </c>
      <c r="AF36" t="s">
        <v>74</v>
      </c>
      <c r="AG36">
        <v>60</v>
      </c>
      <c r="AH36">
        <v>102</v>
      </c>
      <c r="AI36">
        <v>113</v>
      </c>
      <c r="AJ36">
        <v>1</v>
      </c>
      <c r="AK36">
        <v>31</v>
      </c>
      <c r="AL36" t="s">
        <v>245</v>
      </c>
      <c r="AM36" t="s">
        <v>246</v>
      </c>
      <c r="AN36" t="s">
        <v>247</v>
      </c>
      <c r="AO36" t="s">
        <v>290</v>
      </c>
      <c r="AP36" t="s">
        <v>74</v>
      </c>
      <c r="AQ36" t="s">
        <v>74</v>
      </c>
      <c r="AR36" t="s">
        <v>291</v>
      </c>
      <c r="AS36" t="s">
        <v>292</v>
      </c>
      <c r="AT36" t="s">
        <v>74</v>
      </c>
      <c r="AU36">
        <v>2001</v>
      </c>
      <c r="AV36">
        <v>48</v>
      </c>
      <c r="AW36" t="s">
        <v>414</v>
      </c>
      <c r="AX36" t="s">
        <v>74</v>
      </c>
      <c r="AY36" t="s">
        <v>74</v>
      </c>
      <c r="AZ36" t="s">
        <v>74</v>
      </c>
      <c r="BA36" t="s">
        <v>74</v>
      </c>
      <c r="BB36">
        <v>4247</v>
      </c>
      <c r="BC36">
        <v>4273</v>
      </c>
      <c r="BD36" t="s">
        <v>74</v>
      </c>
      <c r="BE36" t="s">
        <v>529</v>
      </c>
      <c r="BF36" t="str">
        <f>HYPERLINK("http://dx.doi.org/10.1016/S0967-0645(01)00088-1","http://dx.doi.org/10.1016/S0967-0645(01)00088-1")</f>
        <v>http://dx.doi.org/10.1016/S0967-0645(01)00088-1</v>
      </c>
      <c r="BG36" t="s">
        <v>74</v>
      </c>
      <c r="BH36" t="s">
        <v>74</v>
      </c>
      <c r="BI36">
        <v>27</v>
      </c>
      <c r="BJ36" t="s">
        <v>252</v>
      </c>
      <c r="BK36" t="s">
        <v>94</v>
      </c>
      <c r="BL36" t="s">
        <v>252</v>
      </c>
      <c r="BM36" t="s">
        <v>416</v>
      </c>
      <c r="BN36" t="s">
        <v>74</v>
      </c>
      <c r="BO36" t="s">
        <v>74</v>
      </c>
      <c r="BP36" t="s">
        <v>74</v>
      </c>
      <c r="BQ36" t="s">
        <v>74</v>
      </c>
      <c r="BR36" t="s">
        <v>97</v>
      </c>
      <c r="BS36" t="s">
        <v>530</v>
      </c>
      <c r="BT36" t="str">
        <f>HYPERLINK("https%3A%2F%2Fwww.webofscience.com%2Fwos%2Fwoscc%2Ffull-record%2FWOS:000172954400017","View Full Record in Web of Science")</f>
        <v>View Full Record in Web of Science</v>
      </c>
    </row>
    <row r="37" spans="1:72" x14ac:dyDescent="0.15">
      <c r="A37" t="s">
        <v>72</v>
      </c>
      <c r="B37" t="s">
        <v>531</v>
      </c>
      <c r="C37" t="s">
        <v>74</v>
      </c>
      <c r="D37" t="s">
        <v>74</v>
      </c>
      <c r="E37" t="s">
        <v>74</v>
      </c>
      <c r="F37" t="s">
        <v>531</v>
      </c>
      <c r="G37" t="s">
        <v>74</v>
      </c>
      <c r="H37" t="s">
        <v>74</v>
      </c>
      <c r="I37" t="s">
        <v>532</v>
      </c>
      <c r="J37" t="s">
        <v>281</v>
      </c>
      <c r="K37" t="s">
        <v>74</v>
      </c>
      <c r="L37" t="s">
        <v>74</v>
      </c>
      <c r="M37" t="s">
        <v>77</v>
      </c>
      <c r="N37" t="s">
        <v>78</v>
      </c>
      <c r="O37" t="s">
        <v>74</v>
      </c>
      <c r="P37" t="s">
        <v>74</v>
      </c>
      <c r="Q37" t="s">
        <v>74</v>
      </c>
      <c r="R37" t="s">
        <v>74</v>
      </c>
      <c r="S37" t="s">
        <v>74</v>
      </c>
      <c r="T37" t="s">
        <v>74</v>
      </c>
      <c r="U37" t="s">
        <v>533</v>
      </c>
      <c r="V37" t="s">
        <v>534</v>
      </c>
      <c r="W37" t="s">
        <v>535</v>
      </c>
      <c r="X37" t="s">
        <v>536</v>
      </c>
      <c r="Y37" t="s">
        <v>537</v>
      </c>
      <c r="Z37" t="s">
        <v>538</v>
      </c>
      <c r="AA37" t="s">
        <v>74</v>
      </c>
      <c r="AB37" t="s">
        <v>74</v>
      </c>
      <c r="AC37" t="s">
        <v>74</v>
      </c>
      <c r="AD37" t="s">
        <v>74</v>
      </c>
      <c r="AE37" t="s">
        <v>74</v>
      </c>
      <c r="AF37" t="s">
        <v>74</v>
      </c>
      <c r="AG37">
        <v>57</v>
      </c>
      <c r="AH37">
        <v>128</v>
      </c>
      <c r="AI37">
        <v>144</v>
      </c>
      <c r="AJ37">
        <v>3</v>
      </c>
      <c r="AK37">
        <v>21</v>
      </c>
      <c r="AL37" t="s">
        <v>245</v>
      </c>
      <c r="AM37" t="s">
        <v>246</v>
      </c>
      <c r="AN37" t="s">
        <v>247</v>
      </c>
      <c r="AO37" t="s">
        <v>290</v>
      </c>
      <c r="AP37" t="s">
        <v>74</v>
      </c>
      <c r="AQ37" t="s">
        <v>74</v>
      </c>
      <c r="AR37" t="s">
        <v>291</v>
      </c>
      <c r="AS37" t="s">
        <v>292</v>
      </c>
      <c r="AT37" t="s">
        <v>74</v>
      </c>
      <c r="AU37">
        <v>2001</v>
      </c>
      <c r="AV37">
        <v>48</v>
      </c>
      <c r="AW37" t="s">
        <v>414</v>
      </c>
      <c r="AX37" t="s">
        <v>74</v>
      </c>
      <c r="AY37" t="s">
        <v>74</v>
      </c>
      <c r="AZ37" t="s">
        <v>74</v>
      </c>
      <c r="BA37" t="s">
        <v>74</v>
      </c>
      <c r="BB37">
        <v>4275</v>
      </c>
      <c r="BC37">
        <v>4297</v>
      </c>
      <c r="BD37" t="s">
        <v>74</v>
      </c>
      <c r="BE37" t="s">
        <v>539</v>
      </c>
      <c r="BF37" t="str">
        <f>HYPERLINK("http://dx.doi.org/10.1016/S0967-0645(01)00089-3","http://dx.doi.org/10.1016/S0967-0645(01)00089-3")</f>
        <v>http://dx.doi.org/10.1016/S0967-0645(01)00089-3</v>
      </c>
      <c r="BG37" t="s">
        <v>74</v>
      </c>
      <c r="BH37" t="s">
        <v>74</v>
      </c>
      <c r="BI37">
        <v>23</v>
      </c>
      <c r="BJ37" t="s">
        <v>252</v>
      </c>
      <c r="BK37" t="s">
        <v>94</v>
      </c>
      <c r="BL37" t="s">
        <v>252</v>
      </c>
      <c r="BM37" t="s">
        <v>416</v>
      </c>
      <c r="BN37" t="s">
        <v>74</v>
      </c>
      <c r="BO37" t="s">
        <v>74</v>
      </c>
      <c r="BP37" t="s">
        <v>74</v>
      </c>
      <c r="BQ37" t="s">
        <v>74</v>
      </c>
      <c r="BR37" t="s">
        <v>97</v>
      </c>
      <c r="BS37" t="s">
        <v>540</v>
      </c>
      <c r="BT37" t="str">
        <f>HYPERLINK("https%3A%2F%2Fwww.webofscience.com%2Fwos%2Fwoscc%2Ffull-record%2FWOS:000172954400018","View Full Record in Web of Science")</f>
        <v>View Full Record in Web of Science</v>
      </c>
    </row>
    <row r="38" spans="1:72" x14ac:dyDescent="0.15">
      <c r="A38" t="s">
        <v>72</v>
      </c>
      <c r="B38" t="s">
        <v>541</v>
      </c>
      <c r="C38" t="s">
        <v>74</v>
      </c>
      <c r="D38" t="s">
        <v>74</v>
      </c>
      <c r="E38" t="s">
        <v>74</v>
      </c>
      <c r="F38" t="s">
        <v>541</v>
      </c>
      <c r="G38" t="s">
        <v>74</v>
      </c>
      <c r="H38" t="s">
        <v>74</v>
      </c>
      <c r="I38" t="s">
        <v>542</v>
      </c>
      <c r="J38" t="s">
        <v>281</v>
      </c>
      <c r="K38" t="s">
        <v>74</v>
      </c>
      <c r="L38" t="s">
        <v>74</v>
      </c>
      <c r="M38" t="s">
        <v>77</v>
      </c>
      <c r="N38" t="s">
        <v>78</v>
      </c>
      <c r="O38" t="s">
        <v>74</v>
      </c>
      <c r="P38" t="s">
        <v>74</v>
      </c>
      <c r="Q38" t="s">
        <v>74</v>
      </c>
      <c r="R38" t="s">
        <v>74</v>
      </c>
      <c r="S38" t="s">
        <v>74</v>
      </c>
      <c r="T38" t="s">
        <v>74</v>
      </c>
      <c r="U38" t="s">
        <v>543</v>
      </c>
      <c r="V38" t="s">
        <v>544</v>
      </c>
      <c r="W38" t="s">
        <v>545</v>
      </c>
      <c r="X38" t="s">
        <v>546</v>
      </c>
      <c r="Y38" t="s">
        <v>547</v>
      </c>
      <c r="Z38" t="s">
        <v>74</v>
      </c>
      <c r="AA38" t="s">
        <v>548</v>
      </c>
      <c r="AB38" t="s">
        <v>549</v>
      </c>
      <c r="AC38" t="s">
        <v>74</v>
      </c>
      <c r="AD38" t="s">
        <v>74</v>
      </c>
      <c r="AE38" t="s">
        <v>74</v>
      </c>
      <c r="AF38" t="s">
        <v>74</v>
      </c>
      <c r="AG38">
        <v>80</v>
      </c>
      <c r="AH38">
        <v>83</v>
      </c>
      <c r="AI38">
        <v>89</v>
      </c>
      <c r="AJ38">
        <v>1</v>
      </c>
      <c r="AK38">
        <v>20</v>
      </c>
      <c r="AL38" t="s">
        <v>245</v>
      </c>
      <c r="AM38" t="s">
        <v>246</v>
      </c>
      <c r="AN38" t="s">
        <v>247</v>
      </c>
      <c r="AO38" t="s">
        <v>290</v>
      </c>
      <c r="AP38" t="s">
        <v>74</v>
      </c>
      <c r="AQ38" t="s">
        <v>74</v>
      </c>
      <c r="AR38" t="s">
        <v>291</v>
      </c>
      <c r="AS38" t="s">
        <v>292</v>
      </c>
      <c r="AT38" t="s">
        <v>74</v>
      </c>
      <c r="AU38">
        <v>2001</v>
      </c>
      <c r="AV38">
        <v>48</v>
      </c>
      <c r="AW38" t="s">
        <v>414</v>
      </c>
      <c r="AX38" t="s">
        <v>74</v>
      </c>
      <c r="AY38" t="s">
        <v>74</v>
      </c>
      <c r="AZ38" t="s">
        <v>74</v>
      </c>
      <c r="BA38" t="s">
        <v>74</v>
      </c>
      <c r="BB38">
        <v>4323</v>
      </c>
      <c r="BC38">
        <v>4383</v>
      </c>
      <c r="BD38" t="s">
        <v>74</v>
      </c>
      <c r="BE38" t="s">
        <v>550</v>
      </c>
      <c r="BF38" t="str">
        <f>HYPERLINK("http://dx.doi.org/10.1016/S0967-0645(01)00091-1","http://dx.doi.org/10.1016/S0967-0645(01)00091-1")</f>
        <v>http://dx.doi.org/10.1016/S0967-0645(01)00091-1</v>
      </c>
      <c r="BG38" t="s">
        <v>74</v>
      </c>
      <c r="BH38" t="s">
        <v>74</v>
      </c>
      <c r="BI38">
        <v>61</v>
      </c>
      <c r="BJ38" t="s">
        <v>252</v>
      </c>
      <c r="BK38" t="s">
        <v>94</v>
      </c>
      <c r="BL38" t="s">
        <v>252</v>
      </c>
      <c r="BM38" t="s">
        <v>416</v>
      </c>
      <c r="BN38" t="s">
        <v>74</v>
      </c>
      <c r="BO38" t="s">
        <v>74</v>
      </c>
      <c r="BP38" t="s">
        <v>74</v>
      </c>
      <c r="BQ38" t="s">
        <v>74</v>
      </c>
      <c r="BR38" t="s">
        <v>97</v>
      </c>
      <c r="BS38" t="s">
        <v>551</v>
      </c>
      <c r="BT38" t="str">
        <f>HYPERLINK("https%3A%2F%2Fwww.webofscience.com%2Fwos%2Fwoscc%2Ffull-record%2FWOS:000172954400020","View Full Record in Web of Science")</f>
        <v>View Full Record in Web of Science</v>
      </c>
    </row>
    <row r="39" spans="1:72" x14ac:dyDescent="0.15">
      <c r="A39" t="s">
        <v>209</v>
      </c>
      <c r="B39" t="s">
        <v>552</v>
      </c>
      <c r="C39" t="s">
        <v>74</v>
      </c>
      <c r="D39" t="s">
        <v>553</v>
      </c>
      <c r="E39" t="s">
        <v>74</v>
      </c>
      <c r="F39" t="s">
        <v>552</v>
      </c>
      <c r="G39" t="s">
        <v>74</v>
      </c>
      <c r="H39" t="s">
        <v>74</v>
      </c>
      <c r="I39" t="s">
        <v>554</v>
      </c>
      <c r="J39" t="s">
        <v>555</v>
      </c>
      <c r="K39" t="s">
        <v>74</v>
      </c>
      <c r="L39" t="s">
        <v>74</v>
      </c>
      <c r="M39" t="s">
        <v>77</v>
      </c>
      <c r="N39" t="s">
        <v>214</v>
      </c>
      <c r="O39" t="s">
        <v>556</v>
      </c>
      <c r="P39" t="s">
        <v>557</v>
      </c>
      <c r="Q39" t="s">
        <v>558</v>
      </c>
      <c r="R39" t="s">
        <v>74</v>
      </c>
      <c r="S39" t="s">
        <v>74</v>
      </c>
      <c r="T39" t="s">
        <v>74</v>
      </c>
      <c r="U39" t="s">
        <v>559</v>
      </c>
      <c r="V39" t="s">
        <v>560</v>
      </c>
      <c r="W39" t="s">
        <v>561</v>
      </c>
      <c r="X39" t="s">
        <v>562</v>
      </c>
      <c r="Y39" t="s">
        <v>563</v>
      </c>
      <c r="Z39" t="s">
        <v>74</v>
      </c>
      <c r="AA39" t="s">
        <v>564</v>
      </c>
      <c r="AB39" t="s">
        <v>74</v>
      </c>
      <c r="AC39" t="s">
        <v>74</v>
      </c>
      <c r="AD39" t="s">
        <v>74</v>
      </c>
      <c r="AE39" t="s">
        <v>74</v>
      </c>
      <c r="AF39" t="s">
        <v>74</v>
      </c>
      <c r="AG39">
        <v>27</v>
      </c>
      <c r="AH39">
        <v>1</v>
      </c>
      <c r="AI39">
        <v>1</v>
      </c>
      <c r="AJ39">
        <v>0</v>
      </c>
      <c r="AK39">
        <v>2</v>
      </c>
      <c r="AL39" t="s">
        <v>565</v>
      </c>
      <c r="AM39" t="s">
        <v>566</v>
      </c>
      <c r="AN39" t="s">
        <v>567</v>
      </c>
      <c r="AO39" t="s">
        <v>74</v>
      </c>
      <c r="AP39" t="s">
        <v>74</v>
      </c>
      <c r="AQ39" t="s">
        <v>568</v>
      </c>
      <c r="AR39" t="s">
        <v>74</v>
      </c>
      <c r="AS39" t="s">
        <v>74</v>
      </c>
      <c r="AT39" t="s">
        <v>74</v>
      </c>
      <c r="AU39">
        <v>2001</v>
      </c>
      <c r="AV39" t="s">
        <v>74</v>
      </c>
      <c r="AW39" t="s">
        <v>74</v>
      </c>
      <c r="AX39" t="s">
        <v>74</v>
      </c>
      <c r="AY39" t="s">
        <v>74</v>
      </c>
      <c r="AZ39" t="s">
        <v>74</v>
      </c>
      <c r="BA39" t="s">
        <v>74</v>
      </c>
      <c r="BB39">
        <v>215</v>
      </c>
      <c r="BC39">
        <v>228</v>
      </c>
      <c r="BD39" t="s">
        <v>74</v>
      </c>
      <c r="BE39" t="s">
        <v>74</v>
      </c>
      <c r="BF39" t="s">
        <v>74</v>
      </c>
      <c r="BG39" t="s">
        <v>74</v>
      </c>
      <c r="BH39" t="s">
        <v>74</v>
      </c>
      <c r="BI39">
        <v>14</v>
      </c>
      <c r="BJ39" t="s">
        <v>569</v>
      </c>
      <c r="BK39" t="s">
        <v>229</v>
      </c>
      <c r="BL39" t="s">
        <v>570</v>
      </c>
      <c r="BM39" t="s">
        <v>571</v>
      </c>
      <c r="BN39" t="s">
        <v>74</v>
      </c>
      <c r="BO39" t="s">
        <v>74</v>
      </c>
      <c r="BP39" t="s">
        <v>74</v>
      </c>
      <c r="BQ39" t="s">
        <v>74</v>
      </c>
      <c r="BR39" t="s">
        <v>97</v>
      </c>
      <c r="BS39" t="s">
        <v>572</v>
      </c>
      <c r="BT39" t="str">
        <f>HYPERLINK("https%3A%2F%2Fwww.webofscience.com%2Fwos%2Fwoscc%2Ffull-record%2FWOS:000173272300019","View Full Record in Web of Science")</f>
        <v>View Full Record in Web of Science</v>
      </c>
    </row>
    <row r="40" spans="1:72" x14ac:dyDescent="0.15">
      <c r="A40" t="s">
        <v>72</v>
      </c>
      <c r="B40" t="s">
        <v>573</v>
      </c>
      <c r="C40" t="s">
        <v>74</v>
      </c>
      <c r="D40" t="s">
        <v>74</v>
      </c>
      <c r="E40" t="s">
        <v>74</v>
      </c>
      <c r="F40" t="s">
        <v>573</v>
      </c>
      <c r="G40" t="s">
        <v>74</v>
      </c>
      <c r="H40" t="s">
        <v>74</v>
      </c>
      <c r="I40" t="s">
        <v>574</v>
      </c>
      <c r="J40" t="s">
        <v>575</v>
      </c>
      <c r="K40" t="s">
        <v>74</v>
      </c>
      <c r="L40" t="s">
        <v>74</v>
      </c>
      <c r="M40" t="s">
        <v>77</v>
      </c>
      <c r="N40" t="s">
        <v>576</v>
      </c>
      <c r="O40" t="s">
        <v>577</v>
      </c>
      <c r="P40" t="s">
        <v>578</v>
      </c>
      <c r="Q40" t="s">
        <v>579</v>
      </c>
      <c r="R40" t="s">
        <v>74</v>
      </c>
      <c r="S40" t="s">
        <v>580</v>
      </c>
      <c r="T40" t="s">
        <v>74</v>
      </c>
      <c r="U40" t="s">
        <v>581</v>
      </c>
      <c r="V40" t="s">
        <v>582</v>
      </c>
      <c r="W40" t="s">
        <v>583</v>
      </c>
      <c r="X40" t="s">
        <v>584</v>
      </c>
      <c r="Y40" t="s">
        <v>585</v>
      </c>
      <c r="Z40" t="s">
        <v>74</v>
      </c>
      <c r="AA40" t="s">
        <v>586</v>
      </c>
      <c r="AB40" t="s">
        <v>587</v>
      </c>
      <c r="AC40" t="s">
        <v>74</v>
      </c>
      <c r="AD40" t="s">
        <v>74</v>
      </c>
      <c r="AE40" t="s">
        <v>74</v>
      </c>
      <c r="AF40" t="s">
        <v>74</v>
      </c>
      <c r="AG40">
        <v>29</v>
      </c>
      <c r="AH40">
        <v>15</v>
      </c>
      <c r="AI40">
        <v>16</v>
      </c>
      <c r="AJ40">
        <v>0</v>
      </c>
      <c r="AK40">
        <v>4</v>
      </c>
      <c r="AL40" t="s">
        <v>588</v>
      </c>
      <c r="AM40" t="s">
        <v>589</v>
      </c>
      <c r="AN40" t="s">
        <v>590</v>
      </c>
      <c r="AO40" t="s">
        <v>591</v>
      </c>
      <c r="AP40" t="s">
        <v>74</v>
      </c>
      <c r="AQ40" t="s">
        <v>74</v>
      </c>
      <c r="AR40" t="s">
        <v>592</v>
      </c>
      <c r="AS40" t="s">
        <v>593</v>
      </c>
      <c r="AT40" t="s">
        <v>74</v>
      </c>
      <c r="AU40">
        <v>2001</v>
      </c>
      <c r="AV40">
        <v>53</v>
      </c>
      <c r="AW40">
        <v>6</v>
      </c>
      <c r="AX40" t="s">
        <v>74</v>
      </c>
      <c r="AY40" t="s">
        <v>74</v>
      </c>
      <c r="AZ40" t="s">
        <v>74</v>
      </c>
      <c r="BA40" t="s">
        <v>74</v>
      </c>
      <c r="BB40">
        <v>619</v>
      </c>
      <c r="BC40">
        <v>625</v>
      </c>
      <c r="BD40" t="s">
        <v>74</v>
      </c>
      <c r="BE40" t="s">
        <v>594</v>
      </c>
      <c r="BF40" t="str">
        <f>HYPERLINK("http://dx.doi.org/10.1186/BF03353281","http://dx.doi.org/10.1186/BF03353281")</f>
        <v>http://dx.doi.org/10.1186/BF03353281</v>
      </c>
      <c r="BG40" t="s">
        <v>74</v>
      </c>
      <c r="BH40" t="s">
        <v>74</v>
      </c>
      <c r="BI40">
        <v>7</v>
      </c>
      <c r="BJ40" t="s">
        <v>595</v>
      </c>
      <c r="BK40" t="s">
        <v>596</v>
      </c>
      <c r="BL40" t="s">
        <v>597</v>
      </c>
      <c r="BM40" t="s">
        <v>598</v>
      </c>
      <c r="BN40" t="s">
        <v>74</v>
      </c>
      <c r="BO40" t="s">
        <v>599</v>
      </c>
      <c r="BP40" t="s">
        <v>74</v>
      </c>
      <c r="BQ40" t="s">
        <v>74</v>
      </c>
      <c r="BR40" t="s">
        <v>97</v>
      </c>
      <c r="BS40" t="s">
        <v>600</v>
      </c>
      <c r="BT40" t="str">
        <f>HYPERLINK("https%3A%2F%2Fwww.webofscience.com%2Fwos%2Fwoscc%2Ffull-record%2FWOS:000170239400033","View Full Record in Web of Science")</f>
        <v>View Full Record in Web of Science</v>
      </c>
    </row>
    <row r="41" spans="1:72" x14ac:dyDescent="0.15">
      <c r="A41" t="s">
        <v>209</v>
      </c>
      <c r="B41" t="s">
        <v>601</v>
      </c>
      <c r="C41" t="s">
        <v>74</v>
      </c>
      <c r="D41" t="s">
        <v>602</v>
      </c>
      <c r="E41" t="s">
        <v>74</v>
      </c>
      <c r="F41" t="s">
        <v>601</v>
      </c>
      <c r="G41" t="s">
        <v>74</v>
      </c>
      <c r="H41" t="s">
        <v>74</v>
      </c>
      <c r="I41" t="s">
        <v>603</v>
      </c>
      <c r="J41" t="s">
        <v>604</v>
      </c>
      <c r="K41" t="s">
        <v>74</v>
      </c>
      <c r="L41" t="s">
        <v>74</v>
      </c>
      <c r="M41" t="s">
        <v>77</v>
      </c>
      <c r="N41" t="s">
        <v>214</v>
      </c>
      <c r="O41" t="s">
        <v>605</v>
      </c>
      <c r="P41" t="s">
        <v>606</v>
      </c>
      <c r="Q41" t="s">
        <v>607</v>
      </c>
      <c r="R41" t="s">
        <v>74</v>
      </c>
      <c r="S41" t="s">
        <v>608</v>
      </c>
      <c r="T41" t="s">
        <v>74</v>
      </c>
      <c r="U41" t="s">
        <v>609</v>
      </c>
      <c r="V41" t="s">
        <v>610</v>
      </c>
      <c r="W41" t="s">
        <v>611</v>
      </c>
      <c r="X41" t="s">
        <v>612</v>
      </c>
      <c r="Y41" t="s">
        <v>613</v>
      </c>
      <c r="Z41" t="s">
        <v>614</v>
      </c>
      <c r="AA41" t="s">
        <v>615</v>
      </c>
      <c r="AB41" t="s">
        <v>616</v>
      </c>
      <c r="AC41" t="s">
        <v>74</v>
      </c>
      <c r="AD41" t="s">
        <v>74</v>
      </c>
      <c r="AE41" t="s">
        <v>74</v>
      </c>
      <c r="AF41" t="s">
        <v>74</v>
      </c>
      <c r="AG41">
        <v>20</v>
      </c>
      <c r="AH41">
        <v>15</v>
      </c>
      <c r="AI41">
        <v>15</v>
      </c>
      <c r="AJ41">
        <v>0</v>
      </c>
      <c r="AK41">
        <v>11</v>
      </c>
      <c r="AL41" t="s">
        <v>224</v>
      </c>
      <c r="AM41" t="s">
        <v>225</v>
      </c>
      <c r="AN41" t="s">
        <v>226</v>
      </c>
      <c r="AO41" t="s">
        <v>74</v>
      </c>
      <c r="AP41" t="s">
        <v>74</v>
      </c>
      <c r="AQ41" t="s">
        <v>617</v>
      </c>
      <c r="AR41" t="s">
        <v>74</v>
      </c>
      <c r="AS41" t="s">
        <v>74</v>
      </c>
      <c r="AT41" t="s">
        <v>74</v>
      </c>
      <c r="AU41">
        <v>2001</v>
      </c>
      <c r="AV41" t="s">
        <v>74</v>
      </c>
      <c r="AW41" t="s">
        <v>74</v>
      </c>
      <c r="AX41" t="s">
        <v>74</v>
      </c>
      <c r="AY41" t="s">
        <v>74</v>
      </c>
      <c r="AZ41" t="s">
        <v>74</v>
      </c>
      <c r="BA41" t="s">
        <v>74</v>
      </c>
      <c r="BB41">
        <v>55</v>
      </c>
      <c r="BC41">
        <v>58</v>
      </c>
      <c r="BD41" t="s">
        <v>74</v>
      </c>
      <c r="BE41" t="s">
        <v>74</v>
      </c>
      <c r="BF41" t="s">
        <v>74</v>
      </c>
      <c r="BG41" t="s">
        <v>74</v>
      </c>
      <c r="BH41" t="s">
        <v>74</v>
      </c>
      <c r="BI41">
        <v>4</v>
      </c>
      <c r="BJ41" t="s">
        <v>618</v>
      </c>
      <c r="BK41" t="s">
        <v>229</v>
      </c>
      <c r="BL41" t="s">
        <v>619</v>
      </c>
      <c r="BM41" t="s">
        <v>620</v>
      </c>
      <c r="BN41" t="s">
        <v>74</v>
      </c>
      <c r="BO41" t="s">
        <v>74</v>
      </c>
      <c r="BP41" t="s">
        <v>74</v>
      </c>
      <c r="BQ41" t="s">
        <v>74</v>
      </c>
      <c r="BR41" t="s">
        <v>97</v>
      </c>
      <c r="BS41" t="s">
        <v>621</v>
      </c>
      <c r="BT41" t="str">
        <f>HYPERLINK("https%3A%2F%2Fwww.webofscience.com%2Fwos%2Fwoscc%2Ffull-record%2FWOS:000173978000013","View Full Record in Web of Science")</f>
        <v>View Full Record in Web of Science</v>
      </c>
    </row>
    <row r="42" spans="1:72" x14ac:dyDescent="0.15">
      <c r="A42" t="s">
        <v>209</v>
      </c>
      <c r="B42" t="s">
        <v>622</v>
      </c>
      <c r="C42" t="s">
        <v>74</v>
      </c>
      <c r="D42" t="s">
        <v>602</v>
      </c>
      <c r="E42" t="s">
        <v>74</v>
      </c>
      <c r="F42" t="s">
        <v>622</v>
      </c>
      <c r="G42" t="s">
        <v>74</v>
      </c>
      <c r="H42" t="s">
        <v>74</v>
      </c>
      <c r="I42" t="s">
        <v>623</v>
      </c>
      <c r="J42" t="s">
        <v>604</v>
      </c>
      <c r="K42" t="s">
        <v>74</v>
      </c>
      <c r="L42" t="s">
        <v>74</v>
      </c>
      <c r="M42" t="s">
        <v>77</v>
      </c>
      <c r="N42" t="s">
        <v>214</v>
      </c>
      <c r="O42" t="s">
        <v>605</v>
      </c>
      <c r="P42" t="s">
        <v>606</v>
      </c>
      <c r="Q42" t="s">
        <v>607</v>
      </c>
      <c r="R42" t="s">
        <v>74</v>
      </c>
      <c r="S42" t="s">
        <v>608</v>
      </c>
      <c r="T42" t="s">
        <v>74</v>
      </c>
      <c r="U42" t="s">
        <v>74</v>
      </c>
      <c r="V42" t="s">
        <v>74</v>
      </c>
      <c r="W42" t="s">
        <v>624</v>
      </c>
      <c r="X42" t="s">
        <v>625</v>
      </c>
      <c r="Y42" t="s">
        <v>626</v>
      </c>
      <c r="Z42" t="s">
        <v>74</v>
      </c>
      <c r="AA42" t="s">
        <v>74</v>
      </c>
      <c r="AB42" t="s">
        <v>74</v>
      </c>
      <c r="AC42" t="s">
        <v>74</v>
      </c>
      <c r="AD42" t="s">
        <v>74</v>
      </c>
      <c r="AE42" t="s">
        <v>74</v>
      </c>
      <c r="AF42" t="s">
        <v>74</v>
      </c>
      <c r="AG42">
        <v>0</v>
      </c>
      <c r="AH42">
        <v>0</v>
      </c>
      <c r="AI42">
        <v>0</v>
      </c>
      <c r="AJ42">
        <v>0</v>
      </c>
      <c r="AK42">
        <v>0</v>
      </c>
      <c r="AL42" t="s">
        <v>224</v>
      </c>
      <c r="AM42" t="s">
        <v>225</v>
      </c>
      <c r="AN42" t="s">
        <v>226</v>
      </c>
      <c r="AO42" t="s">
        <v>74</v>
      </c>
      <c r="AP42" t="s">
        <v>74</v>
      </c>
      <c r="AQ42" t="s">
        <v>617</v>
      </c>
      <c r="AR42" t="s">
        <v>74</v>
      </c>
      <c r="AS42" t="s">
        <v>74</v>
      </c>
      <c r="AT42" t="s">
        <v>74</v>
      </c>
      <c r="AU42">
        <v>2001</v>
      </c>
      <c r="AV42" t="s">
        <v>74</v>
      </c>
      <c r="AW42" t="s">
        <v>74</v>
      </c>
      <c r="AX42" t="s">
        <v>74</v>
      </c>
      <c r="AY42" t="s">
        <v>74</v>
      </c>
      <c r="AZ42" t="s">
        <v>74</v>
      </c>
      <c r="BA42" t="s">
        <v>74</v>
      </c>
      <c r="BB42">
        <v>121</v>
      </c>
      <c r="BC42">
        <v>121</v>
      </c>
      <c r="BD42" t="s">
        <v>74</v>
      </c>
      <c r="BE42" t="s">
        <v>74</v>
      </c>
      <c r="BF42" t="s">
        <v>74</v>
      </c>
      <c r="BG42" t="s">
        <v>74</v>
      </c>
      <c r="BH42" t="s">
        <v>74</v>
      </c>
      <c r="BI42">
        <v>1</v>
      </c>
      <c r="BJ42" t="s">
        <v>618</v>
      </c>
      <c r="BK42" t="s">
        <v>229</v>
      </c>
      <c r="BL42" t="s">
        <v>619</v>
      </c>
      <c r="BM42" t="s">
        <v>620</v>
      </c>
      <c r="BN42" t="s">
        <v>74</v>
      </c>
      <c r="BO42" t="s">
        <v>74</v>
      </c>
      <c r="BP42" t="s">
        <v>74</v>
      </c>
      <c r="BQ42" t="s">
        <v>74</v>
      </c>
      <c r="BR42" t="s">
        <v>97</v>
      </c>
      <c r="BS42" t="s">
        <v>627</v>
      </c>
      <c r="BT42" t="str">
        <f>HYPERLINK("https%3A%2F%2Fwww.webofscience.com%2Fwos%2Fwoscc%2Ffull-record%2FWOS:000173978000030","View Full Record in Web of Science")</f>
        <v>View Full Record in Web of Science</v>
      </c>
    </row>
    <row r="43" spans="1:72" x14ac:dyDescent="0.15">
      <c r="A43" t="s">
        <v>209</v>
      </c>
      <c r="B43" t="s">
        <v>628</v>
      </c>
      <c r="C43" t="s">
        <v>74</v>
      </c>
      <c r="D43" t="s">
        <v>602</v>
      </c>
      <c r="E43" t="s">
        <v>74</v>
      </c>
      <c r="F43" t="s">
        <v>628</v>
      </c>
      <c r="G43" t="s">
        <v>74</v>
      </c>
      <c r="H43" t="s">
        <v>74</v>
      </c>
      <c r="I43" t="s">
        <v>629</v>
      </c>
      <c r="J43" t="s">
        <v>604</v>
      </c>
      <c r="K43" t="s">
        <v>74</v>
      </c>
      <c r="L43" t="s">
        <v>74</v>
      </c>
      <c r="M43" t="s">
        <v>77</v>
      </c>
      <c r="N43" t="s">
        <v>214</v>
      </c>
      <c r="O43" t="s">
        <v>605</v>
      </c>
      <c r="P43" t="s">
        <v>606</v>
      </c>
      <c r="Q43" t="s">
        <v>607</v>
      </c>
      <c r="R43" t="s">
        <v>74</v>
      </c>
      <c r="S43" t="s">
        <v>608</v>
      </c>
      <c r="T43" t="s">
        <v>74</v>
      </c>
      <c r="U43" t="s">
        <v>74</v>
      </c>
      <c r="V43" t="s">
        <v>630</v>
      </c>
      <c r="W43" t="s">
        <v>631</v>
      </c>
      <c r="X43" t="s">
        <v>632</v>
      </c>
      <c r="Y43" t="s">
        <v>633</v>
      </c>
      <c r="Z43" t="s">
        <v>634</v>
      </c>
      <c r="AA43" t="s">
        <v>74</v>
      </c>
      <c r="AB43" t="s">
        <v>74</v>
      </c>
      <c r="AC43" t="s">
        <v>74</v>
      </c>
      <c r="AD43" t="s">
        <v>74</v>
      </c>
      <c r="AE43" t="s">
        <v>74</v>
      </c>
      <c r="AF43" t="s">
        <v>74</v>
      </c>
      <c r="AG43">
        <v>0</v>
      </c>
      <c r="AH43">
        <v>0</v>
      </c>
      <c r="AI43">
        <v>0</v>
      </c>
      <c r="AJ43">
        <v>0</v>
      </c>
      <c r="AK43">
        <v>0</v>
      </c>
      <c r="AL43" t="s">
        <v>224</v>
      </c>
      <c r="AM43" t="s">
        <v>225</v>
      </c>
      <c r="AN43" t="s">
        <v>226</v>
      </c>
      <c r="AO43" t="s">
        <v>74</v>
      </c>
      <c r="AP43" t="s">
        <v>74</v>
      </c>
      <c r="AQ43" t="s">
        <v>617</v>
      </c>
      <c r="AR43" t="s">
        <v>74</v>
      </c>
      <c r="AS43" t="s">
        <v>74</v>
      </c>
      <c r="AT43" t="s">
        <v>74</v>
      </c>
      <c r="AU43">
        <v>2001</v>
      </c>
      <c r="AV43" t="s">
        <v>74</v>
      </c>
      <c r="AW43" t="s">
        <v>74</v>
      </c>
      <c r="AX43" t="s">
        <v>74</v>
      </c>
      <c r="AY43" t="s">
        <v>74</v>
      </c>
      <c r="AZ43" t="s">
        <v>74</v>
      </c>
      <c r="BA43" t="s">
        <v>74</v>
      </c>
      <c r="BB43">
        <v>433</v>
      </c>
      <c r="BC43">
        <v>434</v>
      </c>
      <c r="BD43" t="s">
        <v>74</v>
      </c>
      <c r="BE43" t="s">
        <v>74</v>
      </c>
      <c r="BF43" t="s">
        <v>74</v>
      </c>
      <c r="BG43" t="s">
        <v>74</v>
      </c>
      <c r="BH43" t="s">
        <v>74</v>
      </c>
      <c r="BI43">
        <v>2</v>
      </c>
      <c r="BJ43" t="s">
        <v>618</v>
      </c>
      <c r="BK43" t="s">
        <v>229</v>
      </c>
      <c r="BL43" t="s">
        <v>619</v>
      </c>
      <c r="BM43" t="s">
        <v>620</v>
      </c>
      <c r="BN43" t="s">
        <v>74</v>
      </c>
      <c r="BO43" t="s">
        <v>74</v>
      </c>
      <c r="BP43" t="s">
        <v>74</v>
      </c>
      <c r="BQ43" t="s">
        <v>74</v>
      </c>
      <c r="BR43" t="s">
        <v>97</v>
      </c>
      <c r="BS43" t="s">
        <v>635</v>
      </c>
      <c r="BT43" t="str">
        <f>HYPERLINK("https%3A%2F%2Fwww.webofscience.com%2Fwos%2Fwoscc%2Ffull-record%2FWOS:000173978000118","View Full Record in Web of Science")</f>
        <v>View Full Record in Web of Science</v>
      </c>
    </row>
    <row r="44" spans="1:72" x14ac:dyDescent="0.15">
      <c r="A44" t="s">
        <v>209</v>
      </c>
      <c r="B44" t="s">
        <v>636</v>
      </c>
      <c r="C44" t="s">
        <v>74</v>
      </c>
      <c r="D44" t="s">
        <v>602</v>
      </c>
      <c r="E44" t="s">
        <v>74</v>
      </c>
      <c r="F44" t="s">
        <v>636</v>
      </c>
      <c r="G44" t="s">
        <v>74</v>
      </c>
      <c r="H44" t="s">
        <v>74</v>
      </c>
      <c r="I44" t="s">
        <v>637</v>
      </c>
      <c r="J44" t="s">
        <v>604</v>
      </c>
      <c r="K44" t="s">
        <v>74</v>
      </c>
      <c r="L44" t="s">
        <v>74</v>
      </c>
      <c r="M44" t="s">
        <v>77</v>
      </c>
      <c r="N44" t="s">
        <v>214</v>
      </c>
      <c r="O44" t="s">
        <v>605</v>
      </c>
      <c r="P44" t="s">
        <v>606</v>
      </c>
      <c r="Q44" t="s">
        <v>607</v>
      </c>
      <c r="R44" t="s">
        <v>74</v>
      </c>
      <c r="S44" t="s">
        <v>608</v>
      </c>
      <c r="T44" t="s">
        <v>74</v>
      </c>
      <c r="U44" t="s">
        <v>74</v>
      </c>
      <c r="V44" t="s">
        <v>74</v>
      </c>
      <c r="W44" t="s">
        <v>638</v>
      </c>
      <c r="X44" t="s">
        <v>639</v>
      </c>
      <c r="Y44" t="s">
        <v>640</v>
      </c>
      <c r="Z44" t="s">
        <v>74</v>
      </c>
      <c r="AA44" t="s">
        <v>74</v>
      </c>
      <c r="AB44" t="s">
        <v>74</v>
      </c>
      <c r="AC44" t="s">
        <v>74</v>
      </c>
      <c r="AD44" t="s">
        <v>74</v>
      </c>
      <c r="AE44" t="s">
        <v>74</v>
      </c>
      <c r="AF44" t="s">
        <v>74</v>
      </c>
      <c r="AG44">
        <v>0</v>
      </c>
      <c r="AH44">
        <v>0</v>
      </c>
      <c r="AI44">
        <v>0</v>
      </c>
      <c r="AJ44">
        <v>0</v>
      </c>
      <c r="AK44">
        <v>2</v>
      </c>
      <c r="AL44" t="s">
        <v>224</v>
      </c>
      <c r="AM44" t="s">
        <v>225</v>
      </c>
      <c r="AN44" t="s">
        <v>226</v>
      </c>
      <c r="AO44" t="s">
        <v>74</v>
      </c>
      <c r="AP44" t="s">
        <v>74</v>
      </c>
      <c r="AQ44" t="s">
        <v>617</v>
      </c>
      <c r="AR44" t="s">
        <v>74</v>
      </c>
      <c r="AS44" t="s">
        <v>74</v>
      </c>
      <c r="AT44" t="s">
        <v>74</v>
      </c>
      <c r="AU44">
        <v>2001</v>
      </c>
      <c r="AV44" t="s">
        <v>74</v>
      </c>
      <c r="AW44" t="s">
        <v>74</v>
      </c>
      <c r="AX44" t="s">
        <v>74</v>
      </c>
      <c r="AY44" t="s">
        <v>74</v>
      </c>
      <c r="AZ44" t="s">
        <v>74</v>
      </c>
      <c r="BA44" t="s">
        <v>74</v>
      </c>
      <c r="BB44">
        <v>539</v>
      </c>
      <c r="BC44">
        <v>539</v>
      </c>
      <c r="BD44" t="s">
        <v>74</v>
      </c>
      <c r="BE44" t="s">
        <v>74</v>
      </c>
      <c r="BF44" t="s">
        <v>74</v>
      </c>
      <c r="BG44" t="s">
        <v>74</v>
      </c>
      <c r="BH44" t="s">
        <v>74</v>
      </c>
      <c r="BI44">
        <v>1</v>
      </c>
      <c r="BJ44" t="s">
        <v>618</v>
      </c>
      <c r="BK44" t="s">
        <v>229</v>
      </c>
      <c r="BL44" t="s">
        <v>619</v>
      </c>
      <c r="BM44" t="s">
        <v>620</v>
      </c>
      <c r="BN44" t="s">
        <v>74</v>
      </c>
      <c r="BO44" t="s">
        <v>74</v>
      </c>
      <c r="BP44" t="s">
        <v>74</v>
      </c>
      <c r="BQ44" t="s">
        <v>74</v>
      </c>
      <c r="BR44" t="s">
        <v>97</v>
      </c>
      <c r="BS44" t="s">
        <v>641</v>
      </c>
      <c r="BT44" t="str">
        <f>HYPERLINK("https%3A%2F%2Fwww.webofscience.com%2Fwos%2Fwoscc%2Ffull-record%2FWOS:000173978000148","View Full Record in Web of Science")</f>
        <v>View Full Record in Web of Science</v>
      </c>
    </row>
    <row r="45" spans="1:72" x14ac:dyDescent="0.15">
      <c r="A45" t="s">
        <v>72</v>
      </c>
      <c r="B45" t="s">
        <v>642</v>
      </c>
      <c r="C45" t="s">
        <v>74</v>
      </c>
      <c r="D45" t="s">
        <v>74</v>
      </c>
      <c r="E45" t="s">
        <v>74</v>
      </c>
      <c r="F45" t="s">
        <v>642</v>
      </c>
      <c r="G45" t="s">
        <v>74</v>
      </c>
      <c r="H45" t="s">
        <v>74</v>
      </c>
      <c r="I45" t="s">
        <v>643</v>
      </c>
      <c r="J45" t="s">
        <v>644</v>
      </c>
      <c r="K45" t="s">
        <v>74</v>
      </c>
      <c r="L45" t="s">
        <v>74</v>
      </c>
      <c r="M45" t="s">
        <v>77</v>
      </c>
      <c r="N45" t="s">
        <v>78</v>
      </c>
      <c r="O45" t="s">
        <v>74</v>
      </c>
      <c r="P45" t="s">
        <v>74</v>
      </c>
      <c r="Q45" t="s">
        <v>74</v>
      </c>
      <c r="R45" t="s">
        <v>74</v>
      </c>
      <c r="S45" t="s">
        <v>74</v>
      </c>
      <c r="T45" t="s">
        <v>74</v>
      </c>
      <c r="U45" t="s">
        <v>645</v>
      </c>
      <c r="V45" t="s">
        <v>646</v>
      </c>
      <c r="W45" t="s">
        <v>647</v>
      </c>
      <c r="X45" t="s">
        <v>648</v>
      </c>
      <c r="Y45" t="s">
        <v>649</v>
      </c>
      <c r="Z45" t="s">
        <v>74</v>
      </c>
      <c r="AA45" t="s">
        <v>74</v>
      </c>
      <c r="AB45" t="s">
        <v>74</v>
      </c>
      <c r="AC45" t="s">
        <v>74</v>
      </c>
      <c r="AD45" t="s">
        <v>74</v>
      </c>
      <c r="AE45" t="s">
        <v>74</v>
      </c>
      <c r="AF45" t="s">
        <v>74</v>
      </c>
      <c r="AG45">
        <v>78</v>
      </c>
      <c r="AH45">
        <v>9</v>
      </c>
      <c r="AI45">
        <v>10</v>
      </c>
      <c r="AJ45">
        <v>0</v>
      </c>
      <c r="AK45">
        <v>7</v>
      </c>
      <c r="AL45" t="s">
        <v>650</v>
      </c>
      <c r="AM45" t="s">
        <v>651</v>
      </c>
      <c r="AN45" t="s">
        <v>652</v>
      </c>
      <c r="AO45" t="s">
        <v>653</v>
      </c>
      <c r="AP45" t="s">
        <v>74</v>
      </c>
      <c r="AQ45" t="s">
        <v>74</v>
      </c>
      <c r="AR45" t="s">
        <v>654</v>
      </c>
      <c r="AS45" t="s">
        <v>655</v>
      </c>
      <c r="AT45" t="s">
        <v>74</v>
      </c>
      <c r="AU45">
        <v>2001</v>
      </c>
      <c r="AV45">
        <v>27</v>
      </c>
      <c r="AW45">
        <v>4</v>
      </c>
      <c r="AX45" t="s">
        <v>74</v>
      </c>
      <c r="AY45" t="s">
        <v>74</v>
      </c>
      <c r="AZ45" t="s">
        <v>74</v>
      </c>
      <c r="BA45" t="s">
        <v>74</v>
      </c>
      <c r="BB45">
        <v>1261</v>
      </c>
      <c r="BC45">
        <v>1293</v>
      </c>
      <c r="BD45" t="s">
        <v>74</v>
      </c>
      <c r="BE45" t="s">
        <v>74</v>
      </c>
      <c r="BF45" t="s">
        <v>74</v>
      </c>
      <c r="BG45" t="s">
        <v>74</v>
      </c>
      <c r="BH45" t="s">
        <v>74</v>
      </c>
      <c r="BI45">
        <v>33</v>
      </c>
      <c r="BJ45" t="s">
        <v>656</v>
      </c>
      <c r="BK45" t="s">
        <v>657</v>
      </c>
      <c r="BL45" t="s">
        <v>658</v>
      </c>
      <c r="BM45" t="s">
        <v>659</v>
      </c>
      <c r="BN45" t="s">
        <v>74</v>
      </c>
      <c r="BO45" t="s">
        <v>74</v>
      </c>
      <c r="BP45" t="s">
        <v>74</v>
      </c>
      <c r="BQ45" t="s">
        <v>74</v>
      </c>
      <c r="BR45" t="s">
        <v>97</v>
      </c>
      <c r="BS45" t="s">
        <v>660</v>
      </c>
      <c r="BT45" t="str">
        <f>HYPERLINK("https%3A%2F%2Fwww.webofscience.com%2Fwos%2Fwoscc%2Ffull-record%2FWOS:000168506300015","View Full Record in Web of Science")</f>
        <v>View Full Record in Web of Science</v>
      </c>
    </row>
    <row r="46" spans="1:72" x14ac:dyDescent="0.15">
      <c r="A46" t="s">
        <v>72</v>
      </c>
      <c r="B46" t="s">
        <v>661</v>
      </c>
      <c r="C46" t="s">
        <v>74</v>
      </c>
      <c r="D46" t="s">
        <v>74</v>
      </c>
      <c r="E46" t="s">
        <v>74</v>
      </c>
      <c r="F46" t="s">
        <v>661</v>
      </c>
      <c r="G46" t="s">
        <v>74</v>
      </c>
      <c r="H46" t="s">
        <v>74</v>
      </c>
      <c r="I46" t="s">
        <v>662</v>
      </c>
      <c r="J46" t="s">
        <v>663</v>
      </c>
      <c r="K46" t="s">
        <v>74</v>
      </c>
      <c r="L46" t="s">
        <v>74</v>
      </c>
      <c r="M46" t="s">
        <v>77</v>
      </c>
      <c r="N46" t="s">
        <v>78</v>
      </c>
      <c r="O46" t="s">
        <v>74</v>
      </c>
      <c r="P46" t="s">
        <v>74</v>
      </c>
      <c r="Q46" t="s">
        <v>74</v>
      </c>
      <c r="R46" t="s">
        <v>74</v>
      </c>
      <c r="S46" t="s">
        <v>74</v>
      </c>
      <c r="T46" t="s">
        <v>74</v>
      </c>
      <c r="U46" t="s">
        <v>664</v>
      </c>
      <c r="V46" t="s">
        <v>665</v>
      </c>
      <c r="W46" t="s">
        <v>666</v>
      </c>
      <c r="X46" t="s">
        <v>667</v>
      </c>
      <c r="Y46" t="s">
        <v>668</v>
      </c>
      <c r="Z46" t="s">
        <v>74</v>
      </c>
      <c r="AA46" t="s">
        <v>74</v>
      </c>
      <c r="AB46" t="s">
        <v>74</v>
      </c>
      <c r="AC46" t="s">
        <v>74</v>
      </c>
      <c r="AD46" t="s">
        <v>74</v>
      </c>
      <c r="AE46" t="s">
        <v>74</v>
      </c>
      <c r="AF46" t="s">
        <v>74</v>
      </c>
      <c r="AG46">
        <v>20</v>
      </c>
      <c r="AH46">
        <v>6</v>
      </c>
      <c r="AI46">
        <v>8</v>
      </c>
      <c r="AJ46">
        <v>0</v>
      </c>
      <c r="AK46">
        <v>5</v>
      </c>
      <c r="AL46" t="s">
        <v>669</v>
      </c>
      <c r="AM46" t="s">
        <v>670</v>
      </c>
      <c r="AN46" t="s">
        <v>671</v>
      </c>
      <c r="AO46" t="s">
        <v>672</v>
      </c>
      <c r="AP46" t="s">
        <v>74</v>
      </c>
      <c r="AQ46" t="s">
        <v>74</v>
      </c>
      <c r="AR46" t="s">
        <v>663</v>
      </c>
      <c r="AS46" t="s">
        <v>673</v>
      </c>
      <c r="AT46" t="s">
        <v>74</v>
      </c>
      <c r="AU46">
        <v>2001</v>
      </c>
      <c r="AV46">
        <v>101</v>
      </c>
      <c r="AW46">
        <v>2</v>
      </c>
      <c r="AX46" t="s">
        <v>74</v>
      </c>
      <c r="AY46" t="s">
        <v>74</v>
      </c>
      <c r="AZ46" t="s">
        <v>74</v>
      </c>
      <c r="BA46" t="s">
        <v>74</v>
      </c>
      <c r="BB46">
        <v>169</v>
      </c>
      <c r="BC46">
        <v>172</v>
      </c>
      <c r="BD46" t="s">
        <v>74</v>
      </c>
      <c r="BE46" t="s">
        <v>674</v>
      </c>
      <c r="BF46" t="str">
        <f>HYPERLINK("http://dx.doi.org/10.1071/MU00017","http://dx.doi.org/10.1071/MU00017")</f>
        <v>http://dx.doi.org/10.1071/MU00017</v>
      </c>
      <c r="BG46" t="s">
        <v>74</v>
      </c>
      <c r="BH46" t="s">
        <v>74</v>
      </c>
      <c r="BI46">
        <v>4</v>
      </c>
      <c r="BJ46" t="s">
        <v>675</v>
      </c>
      <c r="BK46" t="s">
        <v>94</v>
      </c>
      <c r="BL46" t="s">
        <v>206</v>
      </c>
      <c r="BM46" t="s">
        <v>676</v>
      </c>
      <c r="BN46" t="s">
        <v>74</v>
      </c>
      <c r="BO46" t="s">
        <v>74</v>
      </c>
      <c r="BP46" t="s">
        <v>74</v>
      </c>
      <c r="BQ46" t="s">
        <v>74</v>
      </c>
      <c r="BR46" t="s">
        <v>97</v>
      </c>
      <c r="BS46" t="s">
        <v>677</v>
      </c>
      <c r="BT46" t="str">
        <f>HYPERLINK("https%3A%2F%2Fwww.webofscience.com%2Fwos%2Fwoscc%2Ffull-record%2FWOS:000169376500012","View Full Record in Web of Science")</f>
        <v>View Full Record in Web of Science</v>
      </c>
    </row>
    <row r="47" spans="1:72" x14ac:dyDescent="0.15">
      <c r="A47" t="s">
        <v>72</v>
      </c>
      <c r="B47" t="s">
        <v>678</v>
      </c>
      <c r="C47" t="s">
        <v>74</v>
      </c>
      <c r="D47" t="s">
        <v>74</v>
      </c>
      <c r="E47" t="s">
        <v>74</v>
      </c>
      <c r="F47" t="s">
        <v>678</v>
      </c>
      <c r="G47" t="s">
        <v>74</v>
      </c>
      <c r="H47" t="s">
        <v>74</v>
      </c>
      <c r="I47" t="s">
        <v>679</v>
      </c>
      <c r="J47" t="s">
        <v>663</v>
      </c>
      <c r="K47" t="s">
        <v>74</v>
      </c>
      <c r="L47" t="s">
        <v>74</v>
      </c>
      <c r="M47" t="s">
        <v>77</v>
      </c>
      <c r="N47" t="s">
        <v>78</v>
      </c>
      <c r="O47" t="s">
        <v>74</v>
      </c>
      <c r="P47" t="s">
        <v>74</v>
      </c>
      <c r="Q47" t="s">
        <v>74</v>
      </c>
      <c r="R47" t="s">
        <v>74</v>
      </c>
      <c r="S47" t="s">
        <v>74</v>
      </c>
      <c r="T47" t="s">
        <v>74</v>
      </c>
      <c r="U47" t="s">
        <v>680</v>
      </c>
      <c r="V47" t="s">
        <v>681</v>
      </c>
      <c r="W47" t="s">
        <v>682</v>
      </c>
      <c r="X47" t="s">
        <v>683</v>
      </c>
      <c r="Y47" t="s">
        <v>684</v>
      </c>
      <c r="Z47" t="s">
        <v>74</v>
      </c>
      <c r="AA47" t="s">
        <v>685</v>
      </c>
      <c r="AB47" t="s">
        <v>74</v>
      </c>
      <c r="AC47" t="s">
        <v>74</v>
      </c>
      <c r="AD47" t="s">
        <v>74</v>
      </c>
      <c r="AE47" t="s">
        <v>74</v>
      </c>
      <c r="AF47" t="s">
        <v>74</v>
      </c>
      <c r="AG47">
        <v>33</v>
      </c>
      <c r="AH47">
        <v>19</v>
      </c>
      <c r="AI47">
        <v>21</v>
      </c>
      <c r="AJ47">
        <v>0</v>
      </c>
      <c r="AK47">
        <v>14</v>
      </c>
      <c r="AL47" t="s">
        <v>669</v>
      </c>
      <c r="AM47" t="s">
        <v>670</v>
      </c>
      <c r="AN47" t="s">
        <v>671</v>
      </c>
      <c r="AO47" t="s">
        <v>672</v>
      </c>
      <c r="AP47" t="s">
        <v>74</v>
      </c>
      <c r="AQ47" t="s">
        <v>74</v>
      </c>
      <c r="AR47" t="s">
        <v>663</v>
      </c>
      <c r="AS47" t="s">
        <v>673</v>
      </c>
      <c r="AT47" t="s">
        <v>74</v>
      </c>
      <c r="AU47">
        <v>2001</v>
      </c>
      <c r="AV47">
        <v>101</v>
      </c>
      <c r="AW47">
        <v>4</v>
      </c>
      <c r="AX47" t="s">
        <v>74</v>
      </c>
      <c r="AY47" t="s">
        <v>74</v>
      </c>
      <c r="AZ47" t="s">
        <v>74</v>
      </c>
      <c r="BA47" t="s">
        <v>74</v>
      </c>
      <c r="BB47">
        <v>329</v>
      </c>
      <c r="BC47">
        <v>334</v>
      </c>
      <c r="BD47" t="s">
        <v>74</v>
      </c>
      <c r="BE47" t="s">
        <v>686</v>
      </c>
      <c r="BF47" t="str">
        <f>HYPERLINK("http://dx.doi.org/10.1071/MU00074","http://dx.doi.org/10.1071/MU00074")</f>
        <v>http://dx.doi.org/10.1071/MU00074</v>
      </c>
      <c r="BG47" t="s">
        <v>74</v>
      </c>
      <c r="BH47" t="s">
        <v>74</v>
      </c>
      <c r="BI47">
        <v>6</v>
      </c>
      <c r="BJ47" t="s">
        <v>675</v>
      </c>
      <c r="BK47" t="s">
        <v>94</v>
      </c>
      <c r="BL47" t="s">
        <v>206</v>
      </c>
      <c r="BM47" t="s">
        <v>687</v>
      </c>
      <c r="BN47" t="s">
        <v>74</v>
      </c>
      <c r="BO47" t="s">
        <v>74</v>
      </c>
      <c r="BP47" t="s">
        <v>74</v>
      </c>
      <c r="BQ47" t="s">
        <v>74</v>
      </c>
      <c r="BR47" t="s">
        <v>97</v>
      </c>
      <c r="BS47" t="s">
        <v>688</v>
      </c>
      <c r="BT47" t="str">
        <f>HYPERLINK("https%3A%2F%2Fwww.webofscience.com%2Fwos%2Fwoscc%2Ffull-record%2FWOS:000173151300007","View Full Record in Web of Science")</f>
        <v>View Full Record in Web of Science</v>
      </c>
    </row>
    <row r="48" spans="1:72" x14ac:dyDescent="0.15">
      <c r="A48" t="s">
        <v>72</v>
      </c>
      <c r="B48" t="s">
        <v>689</v>
      </c>
      <c r="C48" t="s">
        <v>74</v>
      </c>
      <c r="D48" t="s">
        <v>74</v>
      </c>
      <c r="E48" t="s">
        <v>74</v>
      </c>
      <c r="F48" t="s">
        <v>689</v>
      </c>
      <c r="G48" t="s">
        <v>74</v>
      </c>
      <c r="H48" t="s">
        <v>74</v>
      </c>
      <c r="I48" t="s">
        <v>690</v>
      </c>
      <c r="J48" t="s">
        <v>691</v>
      </c>
      <c r="K48" t="s">
        <v>74</v>
      </c>
      <c r="L48" t="s">
        <v>74</v>
      </c>
      <c r="M48" t="s">
        <v>77</v>
      </c>
      <c r="N48" t="s">
        <v>78</v>
      </c>
      <c r="O48" t="s">
        <v>74</v>
      </c>
      <c r="P48" t="s">
        <v>74</v>
      </c>
      <c r="Q48" t="s">
        <v>74</v>
      </c>
      <c r="R48" t="s">
        <v>74</v>
      </c>
      <c r="S48" t="s">
        <v>74</v>
      </c>
      <c r="T48" t="s">
        <v>74</v>
      </c>
      <c r="U48" t="s">
        <v>74</v>
      </c>
      <c r="V48" t="s">
        <v>692</v>
      </c>
      <c r="W48" t="s">
        <v>693</v>
      </c>
      <c r="X48" t="s">
        <v>694</v>
      </c>
      <c r="Y48" t="s">
        <v>695</v>
      </c>
      <c r="Z48" t="s">
        <v>74</v>
      </c>
      <c r="AA48" t="s">
        <v>696</v>
      </c>
      <c r="AB48" t="s">
        <v>697</v>
      </c>
      <c r="AC48" t="s">
        <v>74</v>
      </c>
      <c r="AD48" t="s">
        <v>74</v>
      </c>
      <c r="AE48" t="s">
        <v>74</v>
      </c>
      <c r="AF48" t="s">
        <v>74</v>
      </c>
      <c r="AG48">
        <v>8</v>
      </c>
      <c r="AH48">
        <v>15</v>
      </c>
      <c r="AI48">
        <v>16</v>
      </c>
      <c r="AJ48">
        <v>0</v>
      </c>
      <c r="AK48">
        <v>5</v>
      </c>
      <c r="AL48" t="s">
        <v>698</v>
      </c>
      <c r="AM48" t="s">
        <v>699</v>
      </c>
      <c r="AN48" t="s">
        <v>700</v>
      </c>
      <c r="AO48" t="s">
        <v>701</v>
      </c>
      <c r="AP48" t="s">
        <v>74</v>
      </c>
      <c r="AQ48" t="s">
        <v>74</v>
      </c>
      <c r="AR48" t="s">
        <v>702</v>
      </c>
      <c r="AS48" t="s">
        <v>703</v>
      </c>
      <c r="AT48" t="s">
        <v>91</v>
      </c>
      <c r="AU48">
        <v>2001</v>
      </c>
      <c r="AV48">
        <v>33</v>
      </c>
      <c r="AW48">
        <v>1</v>
      </c>
      <c r="AX48" t="s">
        <v>74</v>
      </c>
      <c r="AY48" t="s">
        <v>74</v>
      </c>
      <c r="AZ48" t="s">
        <v>74</v>
      </c>
      <c r="BA48" t="s">
        <v>74</v>
      </c>
      <c r="BB48">
        <v>126</v>
      </c>
      <c r="BC48">
        <v>133</v>
      </c>
      <c r="BD48" t="s">
        <v>74</v>
      </c>
      <c r="BE48" t="s">
        <v>704</v>
      </c>
      <c r="BF48" t="str">
        <f>HYPERLINK("http://dx.doi.org/10.1177/00139160121972909","http://dx.doi.org/10.1177/00139160121972909")</f>
        <v>http://dx.doi.org/10.1177/00139160121972909</v>
      </c>
      <c r="BG48" t="s">
        <v>74</v>
      </c>
      <c r="BH48" t="s">
        <v>74</v>
      </c>
      <c r="BI48">
        <v>8</v>
      </c>
      <c r="BJ48" t="s">
        <v>705</v>
      </c>
      <c r="BK48" t="s">
        <v>657</v>
      </c>
      <c r="BL48" t="s">
        <v>706</v>
      </c>
      <c r="BM48" t="s">
        <v>707</v>
      </c>
      <c r="BN48" t="s">
        <v>74</v>
      </c>
      <c r="BO48" t="s">
        <v>74</v>
      </c>
      <c r="BP48" t="s">
        <v>74</v>
      </c>
      <c r="BQ48" t="s">
        <v>74</v>
      </c>
      <c r="BR48" t="s">
        <v>97</v>
      </c>
      <c r="BS48" t="s">
        <v>708</v>
      </c>
      <c r="BT48" t="str">
        <f>HYPERLINK("https%3A%2F%2Fwww.webofscience.com%2Fwos%2Fwoscc%2Ffull-record%2FWOS:000165616400007","View Full Record in Web of Science")</f>
        <v>View Full Record in Web of Science</v>
      </c>
    </row>
    <row r="49" spans="1:72" x14ac:dyDescent="0.15">
      <c r="A49" t="s">
        <v>72</v>
      </c>
      <c r="B49" t="s">
        <v>709</v>
      </c>
      <c r="C49" t="s">
        <v>74</v>
      </c>
      <c r="D49" t="s">
        <v>74</v>
      </c>
      <c r="E49" t="s">
        <v>74</v>
      </c>
      <c r="F49" t="s">
        <v>709</v>
      </c>
      <c r="G49" t="s">
        <v>74</v>
      </c>
      <c r="H49" t="s">
        <v>74</v>
      </c>
      <c r="I49" t="s">
        <v>710</v>
      </c>
      <c r="J49" t="s">
        <v>711</v>
      </c>
      <c r="K49" t="s">
        <v>74</v>
      </c>
      <c r="L49" t="s">
        <v>74</v>
      </c>
      <c r="M49" t="s">
        <v>77</v>
      </c>
      <c r="N49" t="s">
        <v>78</v>
      </c>
      <c r="O49" t="s">
        <v>74</v>
      </c>
      <c r="P49" t="s">
        <v>74</v>
      </c>
      <c r="Q49" t="s">
        <v>74</v>
      </c>
      <c r="R49" t="s">
        <v>74</v>
      </c>
      <c r="S49" t="s">
        <v>74</v>
      </c>
      <c r="T49" t="s">
        <v>74</v>
      </c>
      <c r="U49" t="s">
        <v>712</v>
      </c>
      <c r="V49" t="s">
        <v>713</v>
      </c>
      <c r="W49" t="s">
        <v>714</v>
      </c>
      <c r="X49" t="s">
        <v>715</v>
      </c>
      <c r="Y49" t="s">
        <v>716</v>
      </c>
      <c r="Z49" t="s">
        <v>74</v>
      </c>
      <c r="AA49" t="s">
        <v>717</v>
      </c>
      <c r="AB49" t="s">
        <v>718</v>
      </c>
      <c r="AC49" t="s">
        <v>74</v>
      </c>
      <c r="AD49" t="s">
        <v>74</v>
      </c>
      <c r="AE49" t="s">
        <v>74</v>
      </c>
      <c r="AF49" t="s">
        <v>74</v>
      </c>
      <c r="AG49">
        <v>30</v>
      </c>
      <c r="AH49">
        <v>80</v>
      </c>
      <c r="AI49">
        <v>87</v>
      </c>
      <c r="AJ49">
        <v>0</v>
      </c>
      <c r="AK49">
        <v>10</v>
      </c>
      <c r="AL49" t="s">
        <v>719</v>
      </c>
      <c r="AM49" t="s">
        <v>246</v>
      </c>
      <c r="AN49" t="s">
        <v>720</v>
      </c>
      <c r="AO49" t="s">
        <v>721</v>
      </c>
      <c r="AP49" t="s">
        <v>74</v>
      </c>
      <c r="AQ49" t="s">
        <v>74</v>
      </c>
      <c r="AR49" t="s">
        <v>722</v>
      </c>
      <c r="AS49" t="s">
        <v>723</v>
      </c>
      <c r="AT49" t="s">
        <v>91</v>
      </c>
      <c r="AU49">
        <v>2001</v>
      </c>
      <c r="AV49">
        <v>3</v>
      </c>
      <c r="AW49">
        <v>1</v>
      </c>
      <c r="AX49" t="s">
        <v>74</v>
      </c>
      <c r="AY49" t="s">
        <v>74</v>
      </c>
      <c r="AZ49" t="s">
        <v>74</v>
      </c>
      <c r="BA49" t="s">
        <v>74</v>
      </c>
      <c r="BB49">
        <v>72</v>
      </c>
      <c r="BC49">
        <v>78</v>
      </c>
      <c r="BD49" t="s">
        <v>74</v>
      </c>
      <c r="BE49" t="s">
        <v>724</v>
      </c>
      <c r="BF49" t="str">
        <f>HYPERLINK("http://dx.doi.org/10.1046/j.1462-2920.2001.00162.x","http://dx.doi.org/10.1046/j.1462-2920.2001.00162.x")</f>
        <v>http://dx.doi.org/10.1046/j.1462-2920.2001.00162.x</v>
      </c>
      <c r="BG49" t="s">
        <v>74</v>
      </c>
      <c r="BH49" t="s">
        <v>74</v>
      </c>
      <c r="BI49">
        <v>7</v>
      </c>
      <c r="BJ49" t="s">
        <v>725</v>
      </c>
      <c r="BK49" t="s">
        <v>94</v>
      </c>
      <c r="BL49" t="s">
        <v>725</v>
      </c>
      <c r="BM49" t="s">
        <v>726</v>
      </c>
      <c r="BN49">
        <v>11225725</v>
      </c>
      <c r="BO49" t="s">
        <v>74</v>
      </c>
      <c r="BP49" t="s">
        <v>74</v>
      </c>
      <c r="BQ49" t="s">
        <v>74</v>
      </c>
      <c r="BR49" t="s">
        <v>97</v>
      </c>
      <c r="BS49" t="s">
        <v>727</v>
      </c>
      <c r="BT49" t="str">
        <f>HYPERLINK("https%3A%2F%2Fwww.webofscience.com%2Fwos%2Fwoscc%2Ffull-record%2FWOS:000167056100008","View Full Record in Web of Science")</f>
        <v>View Full Record in Web of Science</v>
      </c>
    </row>
    <row r="50" spans="1:72" x14ac:dyDescent="0.15">
      <c r="A50" t="s">
        <v>72</v>
      </c>
      <c r="B50" t="s">
        <v>728</v>
      </c>
      <c r="C50" t="s">
        <v>74</v>
      </c>
      <c r="D50" t="s">
        <v>74</v>
      </c>
      <c r="E50" t="s">
        <v>74</v>
      </c>
      <c r="F50" t="s">
        <v>728</v>
      </c>
      <c r="G50" t="s">
        <v>74</v>
      </c>
      <c r="H50" t="s">
        <v>74</v>
      </c>
      <c r="I50" t="s">
        <v>729</v>
      </c>
      <c r="J50" t="s">
        <v>730</v>
      </c>
      <c r="K50" t="s">
        <v>74</v>
      </c>
      <c r="L50" t="s">
        <v>74</v>
      </c>
      <c r="M50" t="s">
        <v>77</v>
      </c>
      <c r="N50" t="s">
        <v>78</v>
      </c>
      <c r="O50" t="s">
        <v>74</v>
      </c>
      <c r="P50" t="s">
        <v>74</v>
      </c>
      <c r="Q50" t="s">
        <v>74</v>
      </c>
      <c r="R50" t="s">
        <v>74</v>
      </c>
      <c r="S50" t="s">
        <v>74</v>
      </c>
      <c r="T50" t="s">
        <v>731</v>
      </c>
      <c r="U50" t="s">
        <v>74</v>
      </c>
      <c r="V50" t="s">
        <v>732</v>
      </c>
      <c r="W50" t="s">
        <v>733</v>
      </c>
      <c r="X50" t="s">
        <v>74</v>
      </c>
      <c r="Y50" t="s">
        <v>734</v>
      </c>
      <c r="Z50" t="s">
        <v>74</v>
      </c>
      <c r="AA50" t="s">
        <v>735</v>
      </c>
      <c r="AB50" t="s">
        <v>736</v>
      </c>
      <c r="AC50" t="s">
        <v>74</v>
      </c>
      <c r="AD50" t="s">
        <v>74</v>
      </c>
      <c r="AE50" t="s">
        <v>74</v>
      </c>
      <c r="AF50" t="s">
        <v>74</v>
      </c>
      <c r="AG50">
        <v>19</v>
      </c>
      <c r="AH50">
        <v>33</v>
      </c>
      <c r="AI50">
        <v>37</v>
      </c>
      <c r="AJ50">
        <v>2</v>
      </c>
      <c r="AK50">
        <v>13</v>
      </c>
      <c r="AL50" t="s">
        <v>737</v>
      </c>
      <c r="AM50" t="s">
        <v>738</v>
      </c>
      <c r="AN50" t="s">
        <v>739</v>
      </c>
      <c r="AO50" t="s">
        <v>740</v>
      </c>
      <c r="AP50" t="s">
        <v>74</v>
      </c>
      <c r="AQ50" t="s">
        <v>74</v>
      </c>
      <c r="AR50" t="s">
        <v>741</v>
      </c>
      <c r="AS50" t="s">
        <v>742</v>
      </c>
      <c r="AT50" t="s">
        <v>91</v>
      </c>
      <c r="AU50">
        <v>2001</v>
      </c>
      <c r="AV50">
        <v>66</v>
      </c>
      <c r="AW50">
        <v>2</v>
      </c>
      <c r="AX50" t="s">
        <v>74</v>
      </c>
      <c r="AY50" t="s">
        <v>74</v>
      </c>
      <c r="AZ50" t="s">
        <v>74</v>
      </c>
      <c r="BA50" t="s">
        <v>74</v>
      </c>
      <c r="BB50">
        <v>147</v>
      </c>
      <c r="BC50">
        <v>158</v>
      </c>
      <c r="BD50" t="s">
        <v>74</v>
      </c>
      <c r="BE50" t="s">
        <v>743</v>
      </c>
      <c r="BF50" t="str">
        <f>HYPERLINK("http://dx.doi.org/10.1023/A:1026487612504","http://dx.doi.org/10.1023/A:1026487612504")</f>
        <v>http://dx.doi.org/10.1023/A:1026487612504</v>
      </c>
      <c r="BG50" t="s">
        <v>74</v>
      </c>
      <c r="BH50" t="s">
        <v>74</v>
      </c>
      <c r="BI50">
        <v>12</v>
      </c>
      <c r="BJ50" t="s">
        <v>744</v>
      </c>
      <c r="BK50" t="s">
        <v>94</v>
      </c>
      <c r="BL50" t="s">
        <v>114</v>
      </c>
      <c r="BM50" t="s">
        <v>745</v>
      </c>
      <c r="BN50">
        <v>11214348</v>
      </c>
      <c r="BO50" t="s">
        <v>74</v>
      </c>
      <c r="BP50" t="s">
        <v>74</v>
      </c>
      <c r="BQ50" t="s">
        <v>74</v>
      </c>
      <c r="BR50" t="s">
        <v>97</v>
      </c>
      <c r="BS50" t="s">
        <v>746</v>
      </c>
      <c r="BT50" t="str">
        <f>HYPERLINK("https%3A%2F%2Fwww.webofscience.com%2Fwos%2Fwoscc%2Ffull-record%2FWOS:000165631700003","View Full Record in Web of Science")</f>
        <v>View Full Record in Web of Science</v>
      </c>
    </row>
    <row r="51" spans="1:72" x14ac:dyDescent="0.15">
      <c r="A51" t="s">
        <v>72</v>
      </c>
      <c r="B51" t="s">
        <v>747</v>
      </c>
      <c r="C51" t="s">
        <v>74</v>
      </c>
      <c r="D51" t="s">
        <v>74</v>
      </c>
      <c r="E51" t="s">
        <v>74</v>
      </c>
      <c r="F51" t="s">
        <v>747</v>
      </c>
      <c r="G51" t="s">
        <v>74</v>
      </c>
      <c r="H51" t="s">
        <v>74</v>
      </c>
      <c r="I51" t="s">
        <v>748</v>
      </c>
      <c r="J51" t="s">
        <v>749</v>
      </c>
      <c r="K51" t="s">
        <v>74</v>
      </c>
      <c r="L51" t="s">
        <v>74</v>
      </c>
      <c r="M51" t="s">
        <v>77</v>
      </c>
      <c r="N51" t="s">
        <v>78</v>
      </c>
      <c r="O51" t="s">
        <v>74</v>
      </c>
      <c r="P51" t="s">
        <v>74</v>
      </c>
      <c r="Q51" t="s">
        <v>74</v>
      </c>
      <c r="R51" t="s">
        <v>74</v>
      </c>
      <c r="S51" t="s">
        <v>74</v>
      </c>
      <c r="T51" t="s">
        <v>750</v>
      </c>
      <c r="U51" t="s">
        <v>751</v>
      </c>
      <c r="V51" t="s">
        <v>752</v>
      </c>
      <c r="W51" t="s">
        <v>753</v>
      </c>
      <c r="X51" t="s">
        <v>754</v>
      </c>
      <c r="Y51" t="s">
        <v>755</v>
      </c>
      <c r="Z51" t="s">
        <v>74</v>
      </c>
      <c r="AA51" t="s">
        <v>756</v>
      </c>
      <c r="AB51" t="s">
        <v>757</v>
      </c>
      <c r="AC51" t="s">
        <v>74</v>
      </c>
      <c r="AD51" t="s">
        <v>74</v>
      </c>
      <c r="AE51" t="s">
        <v>74</v>
      </c>
      <c r="AF51" t="s">
        <v>74</v>
      </c>
      <c r="AG51">
        <v>49</v>
      </c>
      <c r="AH51">
        <v>47</v>
      </c>
      <c r="AI51">
        <v>51</v>
      </c>
      <c r="AJ51">
        <v>0</v>
      </c>
      <c r="AK51">
        <v>13</v>
      </c>
      <c r="AL51" t="s">
        <v>758</v>
      </c>
      <c r="AM51" t="s">
        <v>246</v>
      </c>
      <c r="AN51" t="s">
        <v>759</v>
      </c>
      <c r="AO51" t="s">
        <v>760</v>
      </c>
      <c r="AP51" t="s">
        <v>74</v>
      </c>
      <c r="AQ51" t="s">
        <v>74</v>
      </c>
      <c r="AR51" t="s">
        <v>761</v>
      </c>
      <c r="AS51" t="s">
        <v>762</v>
      </c>
      <c r="AT51" t="s">
        <v>74</v>
      </c>
      <c r="AU51">
        <v>2001</v>
      </c>
      <c r="AV51">
        <v>114</v>
      </c>
      <c r="AW51">
        <v>3</v>
      </c>
      <c r="AX51" t="s">
        <v>74</v>
      </c>
      <c r="AY51" t="s">
        <v>74</v>
      </c>
      <c r="AZ51" t="s">
        <v>74</v>
      </c>
      <c r="BA51" t="s">
        <v>74</v>
      </c>
      <c r="BB51">
        <v>389</v>
      </c>
      <c r="BC51">
        <v>398</v>
      </c>
      <c r="BD51" t="s">
        <v>74</v>
      </c>
      <c r="BE51" t="s">
        <v>763</v>
      </c>
      <c r="BF51" t="str">
        <f>HYPERLINK("http://dx.doi.org/10.1016/S0269-7491(00)00234-7","http://dx.doi.org/10.1016/S0269-7491(00)00234-7")</f>
        <v>http://dx.doi.org/10.1016/S0269-7491(00)00234-7</v>
      </c>
      <c r="BG51" t="s">
        <v>74</v>
      </c>
      <c r="BH51" t="s">
        <v>74</v>
      </c>
      <c r="BI51">
        <v>10</v>
      </c>
      <c r="BJ51" t="s">
        <v>744</v>
      </c>
      <c r="BK51" t="s">
        <v>94</v>
      </c>
      <c r="BL51" t="s">
        <v>114</v>
      </c>
      <c r="BM51" t="s">
        <v>764</v>
      </c>
      <c r="BN51">
        <v>11584637</v>
      </c>
      <c r="BO51" t="s">
        <v>74</v>
      </c>
      <c r="BP51" t="s">
        <v>74</v>
      </c>
      <c r="BQ51" t="s">
        <v>74</v>
      </c>
      <c r="BR51" t="s">
        <v>97</v>
      </c>
      <c r="BS51" t="s">
        <v>765</v>
      </c>
      <c r="BT51" t="str">
        <f>HYPERLINK("https%3A%2F%2Fwww.webofscience.com%2Fwos%2Fwoscc%2Ffull-record%2FWOS:000171001600010","View Full Record in Web of Science")</f>
        <v>View Full Record in Web of Science</v>
      </c>
    </row>
    <row r="52" spans="1:72" x14ac:dyDescent="0.15">
      <c r="A52" t="s">
        <v>72</v>
      </c>
      <c r="B52" t="s">
        <v>766</v>
      </c>
      <c r="C52" t="s">
        <v>74</v>
      </c>
      <c r="D52" t="s">
        <v>74</v>
      </c>
      <c r="E52" t="s">
        <v>74</v>
      </c>
      <c r="F52" t="s">
        <v>766</v>
      </c>
      <c r="G52" t="s">
        <v>74</v>
      </c>
      <c r="H52" t="s">
        <v>74</v>
      </c>
      <c r="I52" t="s">
        <v>767</v>
      </c>
      <c r="J52" t="s">
        <v>768</v>
      </c>
      <c r="K52" t="s">
        <v>74</v>
      </c>
      <c r="L52" t="s">
        <v>74</v>
      </c>
      <c r="M52" t="s">
        <v>77</v>
      </c>
      <c r="N52" t="s">
        <v>78</v>
      </c>
      <c r="O52" t="s">
        <v>74</v>
      </c>
      <c r="P52" t="s">
        <v>74</v>
      </c>
      <c r="Q52" t="s">
        <v>74</v>
      </c>
      <c r="R52" t="s">
        <v>74</v>
      </c>
      <c r="S52" t="s">
        <v>74</v>
      </c>
      <c r="T52" t="s">
        <v>769</v>
      </c>
      <c r="U52" t="s">
        <v>770</v>
      </c>
      <c r="V52" t="s">
        <v>771</v>
      </c>
      <c r="W52" t="s">
        <v>772</v>
      </c>
      <c r="X52" t="s">
        <v>773</v>
      </c>
      <c r="Y52" t="s">
        <v>774</v>
      </c>
      <c r="Z52" t="s">
        <v>775</v>
      </c>
      <c r="AA52" t="s">
        <v>74</v>
      </c>
      <c r="AB52" t="s">
        <v>74</v>
      </c>
      <c r="AC52" t="s">
        <v>74</v>
      </c>
      <c r="AD52" t="s">
        <v>74</v>
      </c>
      <c r="AE52" t="s">
        <v>74</v>
      </c>
      <c r="AF52" t="s">
        <v>74</v>
      </c>
      <c r="AG52">
        <v>48</v>
      </c>
      <c r="AH52">
        <v>55</v>
      </c>
      <c r="AI52">
        <v>66</v>
      </c>
      <c r="AJ52">
        <v>1</v>
      </c>
      <c r="AK52">
        <v>23</v>
      </c>
      <c r="AL52" t="s">
        <v>776</v>
      </c>
      <c r="AM52" t="s">
        <v>777</v>
      </c>
      <c r="AN52" t="s">
        <v>778</v>
      </c>
      <c r="AO52" t="s">
        <v>779</v>
      </c>
      <c r="AP52" t="s">
        <v>780</v>
      </c>
      <c r="AQ52" t="s">
        <v>74</v>
      </c>
      <c r="AR52" t="s">
        <v>781</v>
      </c>
      <c r="AS52" t="s">
        <v>782</v>
      </c>
      <c r="AT52" t="s">
        <v>74</v>
      </c>
      <c r="AU52">
        <v>2001</v>
      </c>
      <c r="AV52">
        <v>8</v>
      </c>
      <c r="AW52">
        <v>2</v>
      </c>
      <c r="AX52" t="s">
        <v>74</v>
      </c>
      <c r="AY52" t="s">
        <v>74</v>
      </c>
      <c r="AZ52" t="s">
        <v>74</v>
      </c>
      <c r="BA52" t="s">
        <v>74</v>
      </c>
      <c r="BB52">
        <v>103</v>
      </c>
      <c r="BC52">
        <v>108</v>
      </c>
      <c r="BD52" t="s">
        <v>74</v>
      </c>
      <c r="BE52" t="s">
        <v>783</v>
      </c>
      <c r="BF52" t="str">
        <f>HYPERLINK("http://dx.doi.org/10.1007/BF02987302","http://dx.doi.org/10.1007/BF02987302")</f>
        <v>http://dx.doi.org/10.1007/BF02987302</v>
      </c>
      <c r="BG52" t="s">
        <v>74</v>
      </c>
      <c r="BH52" t="s">
        <v>74</v>
      </c>
      <c r="BI52">
        <v>6</v>
      </c>
      <c r="BJ52" t="s">
        <v>744</v>
      </c>
      <c r="BK52" t="s">
        <v>94</v>
      </c>
      <c r="BL52" t="s">
        <v>114</v>
      </c>
      <c r="BM52" t="s">
        <v>784</v>
      </c>
      <c r="BN52">
        <v>11400635</v>
      </c>
      <c r="BO52" t="s">
        <v>74</v>
      </c>
      <c r="BP52" t="s">
        <v>74</v>
      </c>
      <c r="BQ52" t="s">
        <v>74</v>
      </c>
      <c r="BR52" t="s">
        <v>97</v>
      </c>
      <c r="BS52" t="s">
        <v>785</v>
      </c>
      <c r="BT52" t="str">
        <f>HYPERLINK("https%3A%2F%2Fwww.webofscience.com%2Fwos%2Fwoscc%2Ffull-record%2FWOS:000168539300006","View Full Record in Web of Science")</f>
        <v>View Full Record in Web of Science</v>
      </c>
    </row>
    <row r="53" spans="1:72" x14ac:dyDescent="0.15">
      <c r="A53" t="s">
        <v>72</v>
      </c>
      <c r="B53" t="s">
        <v>786</v>
      </c>
      <c r="C53" t="s">
        <v>74</v>
      </c>
      <c r="D53" t="s">
        <v>74</v>
      </c>
      <c r="E53" t="s">
        <v>74</v>
      </c>
      <c r="F53" t="s">
        <v>786</v>
      </c>
      <c r="G53" t="s">
        <v>74</v>
      </c>
      <c r="H53" t="s">
        <v>74</v>
      </c>
      <c r="I53" t="s">
        <v>787</v>
      </c>
      <c r="J53" t="s">
        <v>768</v>
      </c>
      <c r="K53" t="s">
        <v>74</v>
      </c>
      <c r="L53" t="s">
        <v>74</v>
      </c>
      <c r="M53" t="s">
        <v>77</v>
      </c>
      <c r="N53" t="s">
        <v>78</v>
      </c>
      <c r="O53" t="s">
        <v>74</v>
      </c>
      <c r="P53" t="s">
        <v>74</v>
      </c>
      <c r="Q53" t="s">
        <v>74</v>
      </c>
      <c r="R53" t="s">
        <v>74</v>
      </c>
      <c r="S53" t="s">
        <v>74</v>
      </c>
      <c r="T53" t="s">
        <v>788</v>
      </c>
      <c r="U53" t="s">
        <v>789</v>
      </c>
      <c r="V53" t="s">
        <v>790</v>
      </c>
      <c r="W53" t="s">
        <v>791</v>
      </c>
      <c r="X53" t="s">
        <v>792</v>
      </c>
      <c r="Y53" t="s">
        <v>793</v>
      </c>
      <c r="Z53" t="s">
        <v>74</v>
      </c>
      <c r="AA53" t="s">
        <v>794</v>
      </c>
      <c r="AB53" t="s">
        <v>795</v>
      </c>
      <c r="AC53" t="s">
        <v>796</v>
      </c>
      <c r="AD53" t="s">
        <v>797</v>
      </c>
      <c r="AE53" t="s">
        <v>74</v>
      </c>
      <c r="AF53" t="s">
        <v>74</v>
      </c>
      <c r="AG53">
        <v>10</v>
      </c>
      <c r="AH53">
        <v>23</v>
      </c>
      <c r="AI53">
        <v>25</v>
      </c>
      <c r="AJ53">
        <v>0</v>
      </c>
      <c r="AK53">
        <v>15</v>
      </c>
      <c r="AL53" t="s">
        <v>798</v>
      </c>
      <c r="AM53" t="s">
        <v>799</v>
      </c>
      <c r="AN53" t="s">
        <v>800</v>
      </c>
      <c r="AO53" t="s">
        <v>779</v>
      </c>
      <c r="AP53" t="s">
        <v>74</v>
      </c>
      <c r="AQ53" t="s">
        <v>74</v>
      </c>
      <c r="AR53" t="s">
        <v>781</v>
      </c>
      <c r="AS53" t="s">
        <v>782</v>
      </c>
      <c r="AT53" t="s">
        <v>74</v>
      </c>
      <c r="AU53">
        <v>2001</v>
      </c>
      <c r="AV53">
        <v>8</v>
      </c>
      <c r="AW53">
        <v>3</v>
      </c>
      <c r="AX53" t="s">
        <v>74</v>
      </c>
      <c r="AY53" t="s">
        <v>74</v>
      </c>
      <c r="AZ53" t="s">
        <v>74</v>
      </c>
      <c r="BA53" t="s">
        <v>74</v>
      </c>
      <c r="BB53">
        <v>189</v>
      </c>
      <c r="BC53">
        <v>194</v>
      </c>
      <c r="BD53" t="s">
        <v>74</v>
      </c>
      <c r="BE53" t="s">
        <v>801</v>
      </c>
      <c r="BF53" t="str">
        <f>HYPERLINK("http://dx.doi.org/10.1007/BF02987384","http://dx.doi.org/10.1007/BF02987384")</f>
        <v>http://dx.doi.org/10.1007/BF02987384</v>
      </c>
      <c r="BG53" t="s">
        <v>74</v>
      </c>
      <c r="BH53" t="s">
        <v>74</v>
      </c>
      <c r="BI53">
        <v>6</v>
      </c>
      <c r="BJ53" t="s">
        <v>744</v>
      </c>
      <c r="BK53" t="s">
        <v>94</v>
      </c>
      <c r="BL53" t="s">
        <v>114</v>
      </c>
      <c r="BM53" t="s">
        <v>802</v>
      </c>
      <c r="BN53">
        <v>11505903</v>
      </c>
      <c r="BO53" t="s">
        <v>74</v>
      </c>
      <c r="BP53" t="s">
        <v>74</v>
      </c>
      <c r="BQ53" t="s">
        <v>74</v>
      </c>
      <c r="BR53" t="s">
        <v>97</v>
      </c>
      <c r="BS53" t="s">
        <v>803</v>
      </c>
      <c r="BT53" t="str">
        <f>HYPERLINK("https%3A%2F%2Fwww.webofscience.com%2Fwos%2Fwoscc%2Ffull-record%2FWOS:000170141100007","View Full Record in Web of Science")</f>
        <v>View Full Record in Web of Science</v>
      </c>
    </row>
    <row r="54" spans="1:72" x14ac:dyDescent="0.15">
      <c r="A54" t="s">
        <v>72</v>
      </c>
      <c r="B54" t="s">
        <v>804</v>
      </c>
      <c r="C54" t="s">
        <v>74</v>
      </c>
      <c r="D54" t="s">
        <v>74</v>
      </c>
      <c r="E54" t="s">
        <v>74</v>
      </c>
      <c r="F54" t="s">
        <v>804</v>
      </c>
      <c r="G54" t="s">
        <v>74</v>
      </c>
      <c r="H54" t="s">
        <v>74</v>
      </c>
      <c r="I54" t="s">
        <v>805</v>
      </c>
      <c r="J54" t="s">
        <v>806</v>
      </c>
      <c r="K54" t="s">
        <v>74</v>
      </c>
      <c r="L54" t="s">
        <v>74</v>
      </c>
      <c r="M54" t="s">
        <v>77</v>
      </c>
      <c r="N54" t="s">
        <v>78</v>
      </c>
      <c r="O54" t="s">
        <v>74</v>
      </c>
      <c r="P54" t="s">
        <v>74</v>
      </c>
      <c r="Q54" t="s">
        <v>74</v>
      </c>
      <c r="R54" t="s">
        <v>74</v>
      </c>
      <c r="S54" t="s">
        <v>74</v>
      </c>
      <c r="T54" t="s">
        <v>807</v>
      </c>
      <c r="U54" t="s">
        <v>808</v>
      </c>
      <c r="V54" t="s">
        <v>809</v>
      </c>
      <c r="W54" t="s">
        <v>810</v>
      </c>
      <c r="X54" t="s">
        <v>811</v>
      </c>
      <c r="Y54" t="s">
        <v>74</v>
      </c>
      <c r="Z54" t="s">
        <v>812</v>
      </c>
      <c r="AA54" t="s">
        <v>74</v>
      </c>
      <c r="AB54" t="s">
        <v>74</v>
      </c>
      <c r="AC54" t="s">
        <v>74</v>
      </c>
      <c r="AD54" t="s">
        <v>74</v>
      </c>
      <c r="AE54" t="s">
        <v>74</v>
      </c>
      <c r="AF54" t="s">
        <v>74</v>
      </c>
      <c r="AG54">
        <v>25</v>
      </c>
      <c r="AH54">
        <v>14</v>
      </c>
      <c r="AI54">
        <v>17</v>
      </c>
      <c r="AJ54">
        <v>2</v>
      </c>
      <c r="AK54">
        <v>12</v>
      </c>
      <c r="AL54" t="s">
        <v>813</v>
      </c>
      <c r="AM54" t="s">
        <v>814</v>
      </c>
      <c r="AN54" t="s">
        <v>815</v>
      </c>
      <c r="AO54" t="s">
        <v>816</v>
      </c>
      <c r="AP54" t="s">
        <v>74</v>
      </c>
      <c r="AQ54" t="s">
        <v>74</v>
      </c>
      <c r="AR54" t="s">
        <v>817</v>
      </c>
      <c r="AS54" t="s">
        <v>818</v>
      </c>
      <c r="AT54" t="s">
        <v>91</v>
      </c>
      <c r="AU54">
        <v>2001</v>
      </c>
      <c r="AV54">
        <v>268</v>
      </c>
      <c r="AW54">
        <v>1</v>
      </c>
      <c r="AX54" t="s">
        <v>74</v>
      </c>
      <c r="AY54" t="s">
        <v>74</v>
      </c>
      <c r="AZ54" t="s">
        <v>74</v>
      </c>
      <c r="BA54" t="s">
        <v>74</v>
      </c>
      <c r="BB54">
        <v>127</v>
      </c>
      <c r="BC54">
        <v>131</v>
      </c>
      <c r="BD54" t="s">
        <v>74</v>
      </c>
      <c r="BE54" t="s">
        <v>819</v>
      </c>
      <c r="BF54" t="str">
        <f>HYPERLINK("http://dx.doi.org/10.1046/j.1432-1327.2001.01857.x","http://dx.doi.org/10.1046/j.1432-1327.2001.01857.x")</f>
        <v>http://dx.doi.org/10.1046/j.1432-1327.2001.01857.x</v>
      </c>
      <c r="BG54" t="s">
        <v>74</v>
      </c>
      <c r="BH54" t="s">
        <v>74</v>
      </c>
      <c r="BI54">
        <v>5</v>
      </c>
      <c r="BJ54" t="s">
        <v>820</v>
      </c>
      <c r="BK54" t="s">
        <v>94</v>
      </c>
      <c r="BL54" t="s">
        <v>820</v>
      </c>
      <c r="BM54" t="s">
        <v>821</v>
      </c>
      <c r="BN54">
        <v>11121112</v>
      </c>
      <c r="BO54" t="s">
        <v>74</v>
      </c>
      <c r="BP54" t="s">
        <v>74</v>
      </c>
      <c r="BQ54" t="s">
        <v>74</v>
      </c>
      <c r="BR54" t="s">
        <v>97</v>
      </c>
      <c r="BS54" t="s">
        <v>822</v>
      </c>
      <c r="BT54" t="str">
        <f>HYPERLINK("https%3A%2F%2Fwww.webofscience.com%2Fwos%2Fwoscc%2Ffull-record%2FWOS:000166525200018","View Full Record in Web of Science")</f>
        <v>View Full Record in Web of Science</v>
      </c>
    </row>
    <row r="55" spans="1:72" x14ac:dyDescent="0.15">
      <c r="A55" t="s">
        <v>209</v>
      </c>
      <c r="B55" t="s">
        <v>823</v>
      </c>
      <c r="C55" t="s">
        <v>74</v>
      </c>
      <c r="D55" t="s">
        <v>824</v>
      </c>
      <c r="E55" t="s">
        <v>74</v>
      </c>
      <c r="F55" t="s">
        <v>823</v>
      </c>
      <c r="G55" t="s">
        <v>74</v>
      </c>
      <c r="H55" t="s">
        <v>74</v>
      </c>
      <c r="I55" t="s">
        <v>825</v>
      </c>
      <c r="J55" t="s">
        <v>826</v>
      </c>
      <c r="K55" t="s">
        <v>827</v>
      </c>
      <c r="L55" t="s">
        <v>74</v>
      </c>
      <c r="M55" t="s">
        <v>77</v>
      </c>
      <c r="N55" t="s">
        <v>214</v>
      </c>
      <c r="O55" t="s">
        <v>828</v>
      </c>
      <c r="P55" t="s">
        <v>829</v>
      </c>
      <c r="Q55" t="s">
        <v>830</v>
      </c>
      <c r="R55" t="s">
        <v>74</v>
      </c>
      <c r="S55" t="s">
        <v>74</v>
      </c>
      <c r="T55" t="s">
        <v>74</v>
      </c>
      <c r="U55" t="s">
        <v>831</v>
      </c>
      <c r="V55" t="s">
        <v>832</v>
      </c>
      <c r="W55" t="s">
        <v>833</v>
      </c>
      <c r="X55" t="s">
        <v>221</v>
      </c>
      <c r="Y55" t="s">
        <v>834</v>
      </c>
      <c r="Z55" t="s">
        <v>835</v>
      </c>
      <c r="AA55" t="s">
        <v>74</v>
      </c>
      <c r="AB55" t="s">
        <v>74</v>
      </c>
      <c r="AC55" t="s">
        <v>74</v>
      </c>
      <c r="AD55" t="s">
        <v>74</v>
      </c>
      <c r="AE55" t="s">
        <v>74</v>
      </c>
      <c r="AF55" t="s">
        <v>74</v>
      </c>
      <c r="AG55">
        <v>71</v>
      </c>
      <c r="AH55">
        <v>9</v>
      </c>
      <c r="AI55">
        <v>9</v>
      </c>
      <c r="AJ55">
        <v>0</v>
      </c>
      <c r="AK55">
        <v>7</v>
      </c>
      <c r="AL55" t="s">
        <v>836</v>
      </c>
      <c r="AM55" t="s">
        <v>837</v>
      </c>
      <c r="AN55" t="s">
        <v>838</v>
      </c>
      <c r="AO55" t="s">
        <v>839</v>
      </c>
      <c r="AP55" t="s">
        <v>74</v>
      </c>
      <c r="AQ55" t="s">
        <v>840</v>
      </c>
      <c r="AR55" t="s">
        <v>841</v>
      </c>
      <c r="AS55" t="s">
        <v>74</v>
      </c>
      <c r="AT55" t="s">
        <v>74</v>
      </c>
      <c r="AU55">
        <v>2001</v>
      </c>
      <c r="AV55">
        <v>496</v>
      </c>
      <c r="AW55" t="s">
        <v>74</v>
      </c>
      <c r="AX55" t="s">
        <v>74</v>
      </c>
      <c r="AY55" t="s">
        <v>74</v>
      </c>
      <c r="AZ55" t="s">
        <v>74</v>
      </c>
      <c r="BA55" t="s">
        <v>74</v>
      </c>
      <c r="BB55">
        <v>225</v>
      </c>
      <c r="BC55">
        <v>237</v>
      </c>
      <c r="BD55" t="s">
        <v>74</v>
      </c>
      <c r="BE55" t="s">
        <v>74</v>
      </c>
      <c r="BF55" t="s">
        <v>74</v>
      </c>
      <c r="BG55" t="s">
        <v>74</v>
      </c>
      <c r="BH55" t="s">
        <v>74</v>
      </c>
      <c r="BI55">
        <v>13</v>
      </c>
      <c r="BJ55" t="s">
        <v>842</v>
      </c>
      <c r="BK55" t="s">
        <v>229</v>
      </c>
      <c r="BL55" t="s">
        <v>843</v>
      </c>
      <c r="BM55" t="s">
        <v>844</v>
      </c>
      <c r="BN55" t="s">
        <v>74</v>
      </c>
      <c r="BO55" t="s">
        <v>74</v>
      </c>
      <c r="BP55" t="s">
        <v>74</v>
      </c>
      <c r="BQ55" t="s">
        <v>74</v>
      </c>
      <c r="BR55" t="s">
        <v>97</v>
      </c>
      <c r="BS55" t="s">
        <v>845</v>
      </c>
      <c r="BT55" t="str">
        <f>HYPERLINK("https%3A%2F%2Fwww.webofscience.com%2Fwos%2Fwoscc%2Ffull-record%2FWOS:000173696600040","View Full Record in Web of Science")</f>
        <v>View Full Record in Web of Science</v>
      </c>
    </row>
    <row r="56" spans="1:72" x14ac:dyDescent="0.15">
      <c r="A56" t="s">
        <v>209</v>
      </c>
      <c r="B56" t="s">
        <v>846</v>
      </c>
      <c r="C56" t="s">
        <v>74</v>
      </c>
      <c r="D56" t="s">
        <v>824</v>
      </c>
      <c r="E56" t="s">
        <v>74</v>
      </c>
      <c r="F56" t="s">
        <v>846</v>
      </c>
      <c r="G56" t="s">
        <v>74</v>
      </c>
      <c r="H56" t="s">
        <v>74</v>
      </c>
      <c r="I56" t="s">
        <v>847</v>
      </c>
      <c r="J56" t="s">
        <v>826</v>
      </c>
      <c r="K56" t="s">
        <v>848</v>
      </c>
      <c r="L56" t="s">
        <v>74</v>
      </c>
      <c r="M56" t="s">
        <v>77</v>
      </c>
      <c r="N56" t="s">
        <v>214</v>
      </c>
      <c r="O56" t="s">
        <v>828</v>
      </c>
      <c r="P56" t="s">
        <v>829</v>
      </c>
      <c r="Q56" t="s">
        <v>830</v>
      </c>
      <c r="R56" t="s">
        <v>74</v>
      </c>
      <c r="S56" t="s">
        <v>74</v>
      </c>
      <c r="T56" t="s">
        <v>74</v>
      </c>
      <c r="U56" t="s">
        <v>74</v>
      </c>
      <c r="V56" t="s">
        <v>849</v>
      </c>
      <c r="W56" t="s">
        <v>850</v>
      </c>
      <c r="X56" t="s">
        <v>851</v>
      </c>
      <c r="Y56" t="s">
        <v>852</v>
      </c>
      <c r="Z56" t="s">
        <v>74</v>
      </c>
      <c r="AA56" t="s">
        <v>853</v>
      </c>
      <c r="AB56" t="s">
        <v>854</v>
      </c>
      <c r="AC56" t="s">
        <v>74</v>
      </c>
      <c r="AD56" t="s">
        <v>74</v>
      </c>
      <c r="AE56" t="s">
        <v>74</v>
      </c>
      <c r="AF56" t="s">
        <v>74</v>
      </c>
      <c r="AG56">
        <v>5</v>
      </c>
      <c r="AH56">
        <v>0</v>
      </c>
      <c r="AI56">
        <v>0</v>
      </c>
      <c r="AJ56">
        <v>0</v>
      </c>
      <c r="AK56">
        <v>1</v>
      </c>
      <c r="AL56" t="s">
        <v>836</v>
      </c>
      <c r="AM56" t="s">
        <v>837</v>
      </c>
      <c r="AN56" t="s">
        <v>838</v>
      </c>
      <c r="AO56" t="s">
        <v>839</v>
      </c>
      <c r="AP56" t="s">
        <v>74</v>
      </c>
      <c r="AQ56" t="s">
        <v>840</v>
      </c>
      <c r="AR56" t="s">
        <v>855</v>
      </c>
      <c r="AS56" t="s">
        <v>74</v>
      </c>
      <c r="AT56" t="s">
        <v>74</v>
      </c>
      <c r="AU56">
        <v>2001</v>
      </c>
      <c r="AV56">
        <v>496</v>
      </c>
      <c r="AW56" t="s">
        <v>74</v>
      </c>
      <c r="AX56" t="s">
        <v>74</v>
      </c>
      <c r="AY56" t="s">
        <v>74</v>
      </c>
      <c r="AZ56" t="s">
        <v>74</v>
      </c>
      <c r="BA56" t="s">
        <v>74</v>
      </c>
      <c r="BB56">
        <v>419</v>
      </c>
      <c r="BC56">
        <v>422</v>
      </c>
      <c r="BD56" t="s">
        <v>74</v>
      </c>
      <c r="BE56" t="s">
        <v>74</v>
      </c>
      <c r="BF56" t="s">
        <v>74</v>
      </c>
      <c r="BG56" t="s">
        <v>74</v>
      </c>
      <c r="BH56" t="s">
        <v>74</v>
      </c>
      <c r="BI56">
        <v>4</v>
      </c>
      <c r="BJ56" t="s">
        <v>842</v>
      </c>
      <c r="BK56" t="s">
        <v>229</v>
      </c>
      <c r="BL56" t="s">
        <v>843</v>
      </c>
      <c r="BM56" t="s">
        <v>844</v>
      </c>
      <c r="BN56" t="s">
        <v>74</v>
      </c>
      <c r="BO56" t="s">
        <v>74</v>
      </c>
      <c r="BP56" t="s">
        <v>74</v>
      </c>
      <c r="BQ56" t="s">
        <v>74</v>
      </c>
      <c r="BR56" t="s">
        <v>97</v>
      </c>
      <c r="BS56" t="s">
        <v>856</v>
      </c>
      <c r="BT56" t="str">
        <f>HYPERLINK("https%3A%2F%2Fwww.webofscience.com%2Fwos%2Fwoscc%2Ffull-record%2FWOS:000173696600082","View Full Record in Web of Science")</f>
        <v>View Full Record in Web of Science</v>
      </c>
    </row>
    <row r="57" spans="1:72" x14ac:dyDescent="0.15">
      <c r="A57" t="s">
        <v>72</v>
      </c>
      <c r="B57" t="s">
        <v>857</v>
      </c>
      <c r="C57" t="s">
        <v>74</v>
      </c>
      <c r="D57" t="s">
        <v>74</v>
      </c>
      <c r="E57" t="s">
        <v>74</v>
      </c>
      <c r="F57" t="s">
        <v>857</v>
      </c>
      <c r="G57" t="s">
        <v>74</v>
      </c>
      <c r="H57" t="s">
        <v>74</v>
      </c>
      <c r="I57" t="s">
        <v>858</v>
      </c>
      <c r="J57" t="s">
        <v>859</v>
      </c>
      <c r="K57" t="s">
        <v>74</v>
      </c>
      <c r="L57" t="s">
        <v>74</v>
      </c>
      <c r="M57" t="s">
        <v>77</v>
      </c>
      <c r="N57" t="s">
        <v>78</v>
      </c>
      <c r="O57" t="s">
        <v>74</v>
      </c>
      <c r="P57" t="s">
        <v>74</v>
      </c>
      <c r="Q57" t="s">
        <v>74</v>
      </c>
      <c r="R57" t="s">
        <v>74</v>
      </c>
      <c r="S57" t="s">
        <v>74</v>
      </c>
      <c r="T57" t="s">
        <v>860</v>
      </c>
      <c r="U57" t="s">
        <v>74</v>
      </c>
      <c r="V57" t="s">
        <v>861</v>
      </c>
      <c r="W57" t="s">
        <v>862</v>
      </c>
      <c r="X57" t="s">
        <v>863</v>
      </c>
      <c r="Y57" t="s">
        <v>864</v>
      </c>
      <c r="Z57" t="s">
        <v>74</v>
      </c>
      <c r="AA57" t="s">
        <v>74</v>
      </c>
      <c r="AB57" t="s">
        <v>74</v>
      </c>
      <c r="AC57" t="s">
        <v>74</v>
      </c>
      <c r="AD57" t="s">
        <v>74</v>
      </c>
      <c r="AE57" t="s">
        <v>74</v>
      </c>
      <c r="AF57" t="s">
        <v>74</v>
      </c>
      <c r="AG57">
        <v>28</v>
      </c>
      <c r="AH57">
        <v>9</v>
      </c>
      <c r="AI57">
        <v>11</v>
      </c>
      <c r="AJ57">
        <v>0</v>
      </c>
      <c r="AK57">
        <v>5</v>
      </c>
      <c r="AL57" t="s">
        <v>865</v>
      </c>
      <c r="AM57" t="s">
        <v>160</v>
      </c>
      <c r="AN57" t="s">
        <v>866</v>
      </c>
      <c r="AO57" t="s">
        <v>867</v>
      </c>
      <c r="AP57" t="s">
        <v>74</v>
      </c>
      <c r="AQ57" t="s">
        <v>74</v>
      </c>
      <c r="AR57" t="s">
        <v>868</v>
      </c>
      <c r="AS57" t="s">
        <v>869</v>
      </c>
      <c r="AT57" t="s">
        <v>74</v>
      </c>
      <c r="AU57">
        <v>2001</v>
      </c>
      <c r="AV57">
        <v>5</v>
      </c>
      <c r="AW57" t="s">
        <v>870</v>
      </c>
      <c r="AX57" t="s">
        <v>74</v>
      </c>
      <c r="AY57" t="s">
        <v>74</v>
      </c>
      <c r="AZ57" t="s">
        <v>74</v>
      </c>
      <c r="BA57" t="s">
        <v>74</v>
      </c>
      <c r="BB57">
        <v>29</v>
      </c>
      <c r="BC57">
        <v>36</v>
      </c>
      <c r="BD57" t="s">
        <v>74</v>
      </c>
      <c r="BE57" t="s">
        <v>871</v>
      </c>
      <c r="BF57" t="str">
        <f>HYPERLINK("http://dx.doi.org/10.1002/fact.1003","http://dx.doi.org/10.1002/fact.1003")</f>
        <v>http://dx.doi.org/10.1002/fact.1003</v>
      </c>
      <c r="BG57" t="s">
        <v>74</v>
      </c>
      <c r="BH57" t="s">
        <v>74</v>
      </c>
      <c r="BI57">
        <v>8</v>
      </c>
      <c r="BJ57" t="s">
        <v>872</v>
      </c>
      <c r="BK57" t="s">
        <v>94</v>
      </c>
      <c r="BL57" t="s">
        <v>873</v>
      </c>
      <c r="BM57" t="s">
        <v>874</v>
      </c>
      <c r="BN57" t="s">
        <v>74</v>
      </c>
      <c r="BO57" t="s">
        <v>74</v>
      </c>
      <c r="BP57" t="s">
        <v>74</v>
      </c>
      <c r="BQ57" t="s">
        <v>74</v>
      </c>
      <c r="BR57" t="s">
        <v>97</v>
      </c>
      <c r="BS57" t="s">
        <v>875</v>
      </c>
      <c r="BT57" t="str">
        <f>HYPERLINK("https%3A%2F%2Fwww.webofscience.com%2Fwos%2Fwoscc%2Ffull-record%2FWOS:000168365300004","View Full Record in Web of Science")</f>
        <v>View Full Record in Web of Science</v>
      </c>
    </row>
    <row r="58" spans="1:72" x14ac:dyDescent="0.15">
      <c r="A58" t="s">
        <v>209</v>
      </c>
      <c r="B58" t="s">
        <v>876</v>
      </c>
      <c r="C58" t="s">
        <v>74</v>
      </c>
      <c r="D58" t="s">
        <v>877</v>
      </c>
      <c r="E58" t="s">
        <v>74</v>
      </c>
      <c r="F58" t="s">
        <v>876</v>
      </c>
      <c r="G58" t="s">
        <v>74</v>
      </c>
      <c r="H58" t="s">
        <v>74</v>
      </c>
      <c r="I58" t="s">
        <v>878</v>
      </c>
      <c r="J58" t="s">
        <v>879</v>
      </c>
      <c r="K58" t="s">
        <v>74</v>
      </c>
      <c r="L58" t="s">
        <v>74</v>
      </c>
      <c r="M58" t="s">
        <v>77</v>
      </c>
      <c r="N58" t="s">
        <v>214</v>
      </c>
      <c r="O58" t="s">
        <v>880</v>
      </c>
      <c r="P58" t="s">
        <v>881</v>
      </c>
      <c r="Q58" t="s">
        <v>882</v>
      </c>
      <c r="R58" t="s">
        <v>74</v>
      </c>
      <c r="S58" t="s">
        <v>74</v>
      </c>
      <c r="T58" t="s">
        <v>74</v>
      </c>
      <c r="U58" t="s">
        <v>883</v>
      </c>
      <c r="V58" t="s">
        <v>884</v>
      </c>
      <c r="W58" t="s">
        <v>885</v>
      </c>
      <c r="X58" t="s">
        <v>221</v>
      </c>
      <c r="Y58" t="s">
        <v>886</v>
      </c>
      <c r="Z58" t="s">
        <v>74</v>
      </c>
      <c r="AA58" t="s">
        <v>887</v>
      </c>
      <c r="AB58" t="s">
        <v>888</v>
      </c>
      <c r="AC58" t="s">
        <v>74</v>
      </c>
      <c r="AD58" t="s">
        <v>74</v>
      </c>
      <c r="AE58" t="s">
        <v>74</v>
      </c>
      <c r="AF58" t="s">
        <v>74</v>
      </c>
      <c r="AG58">
        <v>153</v>
      </c>
      <c r="AH58">
        <v>48</v>
      </c>
      <c r="AI58">
        <v>52</v>
      </c>
      <c r="AJ58">
        <v>2</v>
      </c>
      <c r="AK58">
        <v>21</v>
      </c>
      <c r="AL58" t="s">
        <v>889</v>
      </c>
      <c r="AM58" t="s">
        <v>160</v>
      </c>
      <c r="AN58" t="s">
        <v>890</v>
      </c>
      <c r="AO58" t="s">
        <v>74</v>
      </c>
      <c r="AP58" t="s">
        <v>74</v>
      </c>
      <c r="AQ58" t="s">
        <v>891</v>
      </c>
      <c r="AR58" t="s">
        <v>74</v>
      </c>
      <c r="AS58" t="s">
        <v>74</v>
      </c>
      <c r="AT58" t="s">
        <v>74</v>
      </c>
      <c r="AU58">
        <v>2001</v>
      </c>
      <c r="AV58" t="s">
        <v>74</v>
      </c>
      <c r="AW58" t="s">
        <v>74</v>
      </c>
      <c r="AX58" t="s">
        <v>74</v>
      </c>
      <c r="AY58" t="s">
        <v>74</v>
      </c>
      <c r="AZ58" t="s">
        <v>74</v>
      </c>
      <c r="BA58" t="s">
        <v>74</v>
      </c>
      <c r="BB58">
        <v>17</v>
      </c>
      <c r="BC58">
        <v>42</v>
      </c>
      <c r="BD58" t="s">
        <v>74</v>
      </c>
      <c r="BE58" t="s">
        <v>74</v>
      </c>
      <c r="BF58" t="s">
        <v>74</v>
      </c>
      <c r="BG58" t="s">
        <v>74</v>
      </c>
      <c r="BH58" t="s">
        <v>74</v>
      </c>
      <c r="BI58">
        <v>26</v>
      </c>
      <c r="BJ58" t="s">
        <v>138</v>
      </c>
      <c r="BK58" t="s">
        <v>229</v>
      </c>
      <c r="BL58" t="s">
        <v>140</v>
      </c>
      <c r="BM58" t="s">
        <v>892</v>
      </c>
      <c r="BN58" t="s">
        <v>74</v>
      </c>
      <c r="BO58" t="s">
        <v>74</v>
      </c>
      <c r="BP58" t="s">
        <v>74</v>
      </c>
      <c r="BQ58" t="s">
        <v>74</v>
      </c>
      <c r="BR58" t="s">
        <v>97</v>
      </c>
      <c r="BS58" t="s">
        <v>893</v>
      </c>
      <c r="BT58" t="str">
        <f>HYPERLINK("https%3A%2F%2Fwww.webofscience.com%2Fwos%2Fwoscc%2Ffull-record%2FWOS:000174089000002","View Full Record in Web of Science")</f>
        <v>View Full Record in Web of Science</v>
      </c>
    </row>
    <row r="59" spans="1:72" x14ac:dyDescent="0.15">
      <c r="A59" t="s">
        <v>209</v>
      </c>
      <c r="B59" t="s">
        <v>894</v>
      </c>
      <c r="C59" t="s">
        <v>74</v>
      </c>
      <c r="D59" t="s">
        <v>895</v>
      </c>
      <c r="E59" t="s">
        <v>74</v>
      </c>
      <c r="F59" t="s">
        <v>894</v>
      </c>
      <c r="G59" t="s">
        <v>74</v>
      </c>
      <c r="H59" t="s">
        <v>74</v>
      </c>
      <c r="I59" t="s">
        <v>896</v>
      </c>
      <c r="J59" t="s">
        <v>897</v>
      </c>
      <c r="K59" t="s">
        <v>74</v>
      </c>
      <c r="L59" t="s">
        <v>74</v>
      </c>
      <c r="M59" t="s">
        <v>77</v>
      </c>
      <c r="N59" t="s">
        <v>214</v>
      </c>
      <c r="O59" t="s">
        <v>898</v>
      </c>
      <c r="P59" t="s">
        <v>899</v>
      </c>
      <c r="Q59" t="s">
        <v>900</v>
      </c>
      <c r="R59" t="s">
        <v>74</v>
      </c>
      <c r="S59" t="s">
        <v>74</v>
      </c>
      <c r="T59" t="s">
        <v>74</v>
      </c>
      <c r="U59" t="s">
        <v>901</v>
      </c>
      <c r="V59" t="s">
        <v>902</v>
      </c>
      <c r="W59" t="s">
        <v>903</v>
      </c>
      <c r="X59" t="s">
        <v>904</v>
      </c>
      <c r="Y59" t="s">
        <v>905</v>
      </c>
      <c r="Z59" t="s">
        <v>74</v>
      </c>
      <c r="AA59" t="s">
        <v>74</v>
      </c>
      <c r="AB59" t="s">
        <v>74</v>
      </c>
      <c r="AC59" t="s">
        <v>74</v>
      </c>
      <c r="AD59" t="s">
        <v>74</v>
      </c>
      <c r="AE59" t="s">
        <v>74</v>
      </c>
      <c r="AF59" t="s">
        <v>74</v>
      </c>
      <c r="AG59">
        <v>21</v>
      </c>
      <c r="AH59">
        <v>1</v>
      </c>
      <c r="AI59">
        <v>1</v>
      </c>
      <c r="AJ59">
        <v>1</v>
      </c>
      <c r="AK59">
        <v>1</v>
      </c>
      <c r="AL59" t="s">
        <v>906</v>
      </c>
      <c r="AM59" t="s">
        <v>738</v>
      </c>
      <c r="AN59" t="s">
        <v>907</v>
      </c>
      <c r="AO59" t="s">
        <v>74</v>
      </c>
      <c r="AP59" t="s">
        <v>74</v>
      </c>
      <c r="AQ59" t="s">
        <v>908</v>
      </c>
      <c r="AR59" t="s">
        <v>74</v>
      </c>
      <c r="AS59" t="s">
        <v>74</v>
      </c>
      <c r="AT59" t="s">
        <v>74</v>
      </c>
      <c r="AU59">
        <v>2001</v>
      </c>
      <c r="AV59" t="s">
        <v>74</v>
      </c>
      <c r="AW59" t="s">
        <v>74</v>
      </c>
      <c r="AX59" t="s">
        <v>74</v>
      </c>
      <c r="AY59" t="s">
        <v>74</v>
      </c>
      <c r="AZ59" t="s">
        <v>74</v>
      </c>
      <c r="BA59" t="s">
        <v>74</v>
      </c>
      <c r="BB59">
        <v>65</v>
      </c>
      <c r="BC59">
        <v>68</v>
      </c>
      <c r="BD59" t="s">
        <v>74</v>
      </c>
      <c r="BE59" t="s">
        <v>74</v>
      </c>
      <c r="BF59" t="s">
        <v>74</v>
      </c>
      <c r="BG59" t="s">
        <v>74</v>
      </c>
      <c r="BH59" t="s">
        <v>74</v>
      </c>
      <c r="BI59">
        <v>4</v>
      </c>
      <c r="BJ59" t="s">
        <v>909</v>
      </c>
      <c r="BK59" t="s">
        <v>229</v>
      </c>
      <c r="BL59" t="s">
        <v>909</v>
      </c>
      <c r="BM59" t="s">
        <v>910</v>
      </c>
      <c r="BN59" t="s">
        <v>74</v>
      </c>
      <c r="BO59" t="s">
        <v>74</v>
      </c>
      <c r="BP59" t="s">
        <v>74</v>
      </c>
      <c r="BQ59" t="s">
        <v>74</v>
      </c>
      <c r="BR59" t="s">
        <v>97</v>
      </c>
      <c r="BS59" t="s">
        <v>911</v>
      </c>
      <c r="BT59" t="str">
        <f>HYPERLINK("https%3A%2F%2Fwww.webofscience.com%2Fwos%2Fwoscc%2Ffull-record%2FWOS:000173413600011","View Full Record in Web of Science")</f>
        <v>View Full Record in Web of Science</v>
      </c>
    </row>
    <row r="60" spans="1:72" x14ac:dyDescent="0.15">
      <c r="A60" t="s">
        <v>209</v>
      </c>
      <c r="B60" t="s">
        <v>912</v>
      </c>
      <c r="C60" t="s">
        <v>74</v>
      </c>
      <c r="D60" t="s">
        <v>895</v>
      </c>
      <c r="E60" t="s">
        <v>74</v>
      </c>
      <c r="F60" t="s">
        <v>912</v>
      </c>
      <c r="G60" t="s">
        <v>74</v>
      </c>
      <c r="H60" t="s">
        <v>74</v>
      </c>
      <c r="I60" t="s">
        <v>913</v>
      </c>
      <c r="J60" t="s">
        <v>897</v>
      </c>
      <c r="K60" t="s">
        <v>74</v>
      </c>
      <c r="L60" t="s">
        <v>74</v>
      </c>
      <c r="M60" t="s">
        <v>77</v>
      </c>
      <c r="N60" t="s">
        <v>214</v>
      </c>
      <c r="O60" t="s">
        <v>898</v>
      </c>
      <c r="P60" t="s">
        <v>899</v>
      </c>
      <c r="Q60" t="s">
        <v>900</v>
      </c>
      <c r="R60" t="s">
        <v>74</v>
      </c>
      <c r="S60" t="s">
        <v>74</v>
      </c>
      <c r="T60" t="s">
        <v>74</v>
      </c>
      <c r="U60" t="s">
        <v>74</v>
      </c>
      <c r="V60" t="s">
        <v>914</v>
      </c>
      <c r="W60" t="s">
        <v>915</v>
      </c>
      <c r="X60" t="s">
        <v>916</v>
      </c>
      <c r="Y60" t="s">
        <v>917</v>
      </c>
      <c r="Z60" t="s">
        <v>918</v>
      </c>
      <c r="AA60" t="s">
        <v>74</v>
      </c>
      <c r="AB60" t="s">
        <v>74</v>
      </c>
      <c r="AC60" t="s">
        <v>74</v>
      </c>
      <c r="AD60" t="s">
        <v>74</v>
      </c>
      <c r="AE60" t="s">
        <v>74</v>
      </c>
      <c r="AF60" t="s">
        <v>74</v>
      </c>
      <c r="AG60">
        <v>21</v>
      </c>
      <c r="AH60">
        <v>2</v>
      </c>
      <c r="AI60">
        <v>2</v>
      </c>
      <c r="AJ60">
        <v>0</v>
      </c>
      <c r="AK60">
        <v>5</v>
      </c>
      <c r="AL60" t="s">
        <v>906</v>
      </c>
      <c r="AM60" t="s">
        <v>738</v>
      </c>
      <c r="AN60" t="s">
        <v>907</v>
      </c>
      <c r="AO60" t="s">
        <v>74</v>
      </c>
      <c r="AP60" t="s">
        <v>74</v>
      </c>
      <c r="AQ60" t="s">
        <v>908</v>
      </c>
      <c r="AR60" t="s">
        <v>74</v>
      </c>
      <c r="AS60" t="s">
        <v>74</v>
      </c>
      <c r="AT60" t="s">
        <v>74</v>
      </c>
      <c r="AU60">
        <v>2001</v>
      </c>
      <c r="AV60" t="s">
        <v>74</v>
      </c>
      <c r="AW60" t="s">
        <v>74</v>
      </c>
      <c r="AX60" t="s">
        <v>74</v>
      </c>
      <c r="AY60" t="s">
        <v>74</v>
      </c>
      <c r="AZ60" t="s">
        <v>74</v>
      </c>
      <c r="BA60" t="s">
        <v>74</v>
      </c>
      <c r="BB60">
        <v>255</v>
      </c>
      <c r="BC60">
        <v>260</v>
      </c>
      <c r="BD60" t="s">
        <v>74</v>
      </c>
      <c r="BE60" t="s">
        <v>74</v>
      </c>
      <c r="BF60" t="s">
        <v>74</v>
      </c>
      <c r="BG60" t="s">
        <v>74</v>
      </c>
      <c r="BH60" t="s">
        <v>74</v>
      </c>
      <c r="BI60">
        <v>6</v>
      </c>
      <c r="BJ60" t="s">
        <v>909</v>
      </c>
      <c r="BK60" t="s">
        <v>229</v>
      </c>
      <c r="BL60" t="s">
        <v>909</v>
      </c>
      <c r="BM60" t="s">
        <v>910</v>
      </c>
      <c r="BN60" t="s">
        <v>74</v>
      </c>
      <c r="BO60" t="s">
        <v>74</v>
      </c>
      <c r="BP60" t="s">
        <v>74</v>
      </c>
      <c r="BQ60" t="s">
        <v>74</v>
      </c>
      <c r="BR60" t="s">
        <v>97</v>
      </c>
      <c r="BS60" t="s">
        <v>919</v>
      </c>
      <c r="BT60" t="str">
        <f>HYPERLINK("https%3A%2F%2Fwww.webofscience.com%2Fwos%2Fwoscc%2Ffull-record%2FWOS:000173413600045","View Full Record in Web of Science")</f>
        <v>View Full Record in Web of Science</v>
      </c>
    </row>
    <row r="61" spans="1:72" x14ac:dyDescent="0.15">
      <c r="A61" t="s">
        <v>72</v>
      </c>
      <c r="B61" t="s">
        <v>920</v>
      </c>
      <c r="C61" t="s">
        <v>74</v>
      </c>
      <c r="D61" t="s">
        <v>74</v>
      </c>
      <c r="E61" t="s">
        <v>74</v>
      </c>
      <c r="F61" t="s">
        <v>920</v>
      </c>
      <c r="G61" t="s">
        <v>74</v>
      </c>
      <c r="H61" t="s">
        <v>74</v>
      </c>
      <c r="I61" t="s">
        <v>921</v>
      </c>
      <c r="J61" t="s">
        <v>922</v>
      </c>
      <c r="K61" t="s">
        <v>74</v>
      </c>
      <c r="L61" t="s">
        <v>74</v>
      </c>
      <c r="M61" t="s">
        <v>77</v>
      </c>
      <c r="N61" t="s">
        <v>78</v>
      </c>
      <c r="O61" t="s">
        <v>74</v>
      </c>
      <c r="P61" t="s">
        <v>74</v>
      </c>
      <c r="Q61" t="s">
        <v>74</v>
      </c>
      <c r="R61" t="s">
        <v>74</v>
      </c>
      <c r="S61" t="s">
        <v>74</v>
      </c>
      <c r="T61" t="s">
        <v>74</v>
      </c>
      <c r="U61" t="s">
        <v>923</v>
      </c>
      <c r="V61" t="s">
        <v>924</v>
      </c>
      <c r="W61" t="s">
        <v>925</v>
      </c>
      <c r="X61" t="s">
        <v>926</v>
      </c>
      <c r="Y61" t="s">
        <v>927</v>
      </c>
      <c r="Z61" t="s">
        <v>74</v>
      </c>
      <c r="AA61" t="s">
        <v>74</v>
      </c>
      <c r="AB61" t="s">
        <v>74</v>
      </c>
      <c r="AC61" t="s">
        <v>74</v>
      </c>
      <c r="AD61" t="s">
        <v>74</v>
      </c>
      <c r="AE61" t="s">
        <v>74</v>
      </c>
      <c r="AF61" t="s">
        <v>74</v>
      </c>
      <c r="AG61">
        <v>32</v>
      </c>
      <c r="AH61">
        <v>31</v>
      </c>
      <c r="AI61">
        <v>33</v>
      </c>
      <c r="AJ61">
        <v>0</v>
      </c>
      <c r="AK61">
        <v>13</v>
      </c>
      <c r="AL61" t="s">
        <v>906</v>
      </c>
      <c r="AM61" t="s">
        <v>160</v>
      </c>
      <c r="AN61" t="s">
        <v>928</v>
      </c>
      <c r="AO61" t="s">
        <v>929</v>
      </c>
      <c r="AP61" t="s">
        <v>74</v>
      </c>
      <c r="AQ61" t="s">
        <v>74</v>
      </c>
      <c r="AR61" t="s">
        <v>930</v>
      </c>
      <c r="AS61" t="s">
        <v>931</v>
      </c>
      <c r="AT61" t="s">
        <v>91</v>
      </c>
      <c r="AU61">
        <v>2001</v>
      </c>
      <c r="AV61">
        <v>369</v>
      </c>
      <c r="AW61">
        <v>1</v>
      </c>
      <c r="AX61" t="s">
        <v>74</v>
      </c>
      <c r="AY61" t="s">
        <v>74</v>
      </c>
      <c r="AZ61" t="s">
        <v>74</v>
      </c>
      <c r="BA61" t="s">
        <v>74</v>
      </c>
      <c r="BB61">
        <v>81</v>
      </c>
      <c r="BC61">
        <v>90</v>
      </c>
      <c r="BD61" t="s">
        <v>74</v>
      </c>
      <c r="BE61" t="s">
        <v>932</v>
      </c>
      <c r="BF61" t="str">
        <f>HYPERLINK("http://dx.doi.org/10.1007/s002160000592","http://dx.doi.org/10.1007/s002160000592")</f>
        <v>http://dx.doi.org/10.1007/s002160000592</v>
      </c>
      <c r="BG61" t="s">
        <v>74</v>
      </c>
      <c r="BH61" t="s">
        <v>74</v>
      </c>
      <c r="BI61">
        <v>10</v>
      </c>
      <c r="BJ61" t="s">
        <v>933</v>
      </c>
      <c r="BK61" t="s">
        <v>94</v>
      </c>
      <c r="BL61" t="s">
        <v>934</v>
      </c>
      <c r="BM61" t="s">
        <v>935</v>
      </c>
      <c r="BN61">
        <v>11210236</v>
      </c>
      <c r="BO61" t="s">
        <v>74</v>
      </c>
      <c r="BP61" t="s">
        <v>74</v>
      </c>
      <c r="BQ61" t="s">
        <v>74</v>
      </c>
      <c r="BR61" t="s">
        <v>97</v>
      </c>
      <c r="BS61" t="s">
        <v>936</v>
      </c>
      <c r="BT61" t="str">
        <f>HYPERLINK("https%3A%2F%2Fwww.webofscience.com%2Fwos%2Fwoscc%2Ffull-record%2FWOS:000166417500013","View Full Record in Web of Science")</f>
        <v>View Full Record in Web of Science</v>
      </c>
    </row>
    <row r="62" spans="1:72" x14ac:dyDescent="0.15">
      <c r="A62" t="s">
        <v>72</v>
      </c>
      <c r="B62" t="s">
        <v>937</v>
      </c>
      <c r="C62" t="s">
        <v>74</v>
      </c>
      <c r="D62" t="s">
        <v>74</v>
      </c>
      <c r="E62" t="s">
        <v>74</v>
      </c>
      <c r="F62" t="s">
        <v>937</v>
      </c>
      <c r="G62" t="s">
        <v>74</v>
      </c>
      <c r="H62" t="s">
        <v>74</v>
      </c>
      <c r="I62" t="s">
        <v>938</v>
      </c>
      <c r="J62" t="s">
        <v>939</v>
      </c>
      <c r="K62" t="s">
        <v>74</v>
      </c>
      <c r="L62" t="s">
        <v>74</v>
      </c>
      <c r="M62" t="s">
        <v>77</v>
      </c>
      <c r="N62" t="s">
        <v>78</v>
      </c>
      <c r="O62" t="s">
        <v>74</v>
      </c>
      <c r="P62" t="s">
        <v>74</v>
      </c>
      <c r="Q62" t="s">
        <v>74</v>
      </c>
      <c r="R62" t="s">
        <v>74</v>
      </c>
      <c r="S62" t="s">
        <v>74</v>
      </c>
      <c r="T62" t="s">
        <v>74</v>
      </c>
      <c r="U62" t="s">
        <v>940</v>
      </c>
      <c r="V62" t="s">
        <v>941</v>
      </c>
      <c r="W62" t="s">
        <v>942</v>
      </c>
      <c r="X62" t="s">
        <v>943</v>
      </c>
      <c r="Y62" t="s">
        <v>944</v>
      </c>
      <c r="Z62" t="s">
        <v>945</v>
      </c>
      <c r="AA62" t="s">
        <v>74</v>
      </c>
      <c r="AB62" t="s">
        <v>74</v>
      </c>
      <c r="AC62" t="s">
        <v>74</v>
      </c>
      <c r="AD62" t="s">
        <v>74</v>
      </c>
      <c r="AE62" t="s">
        <v>74</v>
      </c>
      <c r="AF62" t="s">
        <v>74</v>
      </c>
      <c r="AG62">
        <v>33</v>
      </c>
      <c r="AH62">
        <v>7</v>
      </c>
      <c r="AI62">
        <v>11</v>
      </c>
      <c r="AJ62">
        <v>0</v>
      </c>
      <c r="AK62">
        <v>8</v>
      </c>
      <c r="AL62" t="s">
        <v>946</v>
      </c>
      <c r="AM62" t="s">
        <v>589</v>
      </c>
      <c r="AN62" t="s">
        <v>947</v>
      </c>
      <c r="AO62" t="s">
        <v>948</v>
      </c>
      <c r="AP62" t="s">
        <v>949</v>
      </c>
      <c r="AQ62" t="s">
        <v>74</v>
      </c>
      <c r="AR62" t="s">
        <v>950</v>
      </c>
      <c r="AS62" t="s">
        <v>951</v>
      </c>
      <c r="AT62" t="s">
        <v>74</v>
      </c>
      <c r="AU62">
        <v>2001</v>
      </c>
      <c r="AV62">
        <v>35</v>
      </c>
      <c r="AW62">
        <v>2</v>
      </c>
      <c r="AX62" t="s">
        <v>74</v>
      </c>
      <c r="AY62" t="s">
        <v>74</v>
      </c>
      <c r="AZ62" t="s">
        <v>74</v>
      </c>
      <c r="BA62" t="s">
        <v>74</v>
      </c>
      <c r="BB62">
        <v>101</v>
      </c>
      <c r="BC62">
        <v>116</v>
      </c>
      <c r="BD62" t="s">
        <v>74</v>
      </c>
      <c r="BE62" t="s">
        <v>952</v>
      </c>
      <c r="BF62" t="str">
        <f>HYPERLINK("http://dx.doi.org/10.2343/geochemj.35.101","http://dx.doi.org/10.2343/geochemj.35.101")</f>
        <v>http://dx.doi.org/10.2343/geochemj.35.101</v>
      </c>
      <c r="BG62" t="s">
        <v>74</v>
      </c>
      <c r="BH62" t="s">
        <v>74</v>
      </c>
      <c r="BI62">
        <v>16</v>
      </c>
      <c r="BJ62" t="s">
        <v>953</v>
      </c>
      <c r="BK62" t="s">
        <v>94</v>
      </c>
      <c r="BL62" t="s">
        <v>953</v>
      </c>
      <c r="BM62" t="s">
        <v>954</v>
      </c>
      <c r="BN62" t="s">
        <v>74</v>
      </c>
      <c r="BO62" t="s">
        <v>599</v>
      </c>
      <c r="BP62" t="s">
        <v>74</v>
      </c>
      <c r="BQ62" t="s">
        <v>74</v>
      </c>
      <c r="BR62" t="s">
        <v>97</v>
      </c>
      <c r="BS62" t="s">
        <v>955</v>
      </c>
      <c r="BT62" t="str">
        <f>HYPERLINK("https%3A%2F%2Fwww.webofscience.com%2Fwos%2Fwoscc%2Ffull-record%2FWOS:000168220800003","View Full Record in Web of Science")</f>
        <v>View Full Record in Web of Science</v>
      </c>
    </row>
    <row r="63" spans="1:72" x14ac:dyDescent="0.15">
      <c r="A63" t="s">
        <v>72</v>
      </c>
      <c r="B63" t="s">
        <v>956</v>
      </c>
      <c r="C63" t="s">
        <v>74</v>
      </c>
      <c r="D63" t="s">
        <v>74</v>
      </c>
      <c r="E63" t="s">
        <v>74</v>
      </c>
      <c r="F63" t="s">
        <v>956</v>
      </c>
      <c r="G63" t="s">
        <v>74</v>
      </c>
      <c r="H63" t="s">
        <v>74</v>
      </c>
      <c r="I63" t="s">
        <v>957</v>
      </c>
      <c r="J63" t="s">
        <v>958</v>
      </c>
      <c r="K63" t="s">
        <v>74</v>
      </c>
      <c r="L63" t="s">
        <v>74</v>
      </c>
      <c r="M63" t="s">
        <v>77</v>
      </c>
      <c r="N63" t="s">
        <v>78</v>
      </c>
      <c r="O63" t="s">
        <v>74</v>
      </c>
      <c r="P63" t="s">
        <v>74</v>
      </c>
      <c r="Q63" t="s">
        <v>74</v>
      </c>
      <c r="R63" t="s">
        <v>74</v>
      </c>
      <c r="S63" t="s">
        <v>74</v>
      </c>
      <c r="T63" t="s">
        <v>74</v>
      </c>
      <c r="U63" t="s">
        <v>959</v>
      </c>
      <c r="V63" t="s">
        <v>960</v>
      </c>
      <c r="W63" t="s">
        <v>833</v>
      </c>
      <c r="X63" t="s">
        <v>221</v>
      </c>
      <c r="Y63" t="s">
        <v>961</v>
      </c>
      <c r="Z63" t="s">
        <v>962</v>
      </c>
      <c r="AA63" t="s">
        <v>963</v>
      </c>
      <c r="AB63" t="s">
        <v>964</v>
      </c>
      <c r="AC63" t="s">
        <v>74</v>
      </c>
      <c r="AD63" t="s">
        <v>74</v>
      </c>
      <c r="AE63" t="s">
        <v>74</v>
      </c>
      <c r="AF63" t="s">
        <v>74</v>
      </c>
      <c r="AG63">
        <v>69</v>
      </c>
      <c r="AH63">
        <v>42</v>
      </c>
      <c r="AI63">
        <v>47</v>
      </c>
      <c r="AJ63">
        <v>1</v>
      </c>
      <c r="AK63">
        <v>17</v>
      </c>
      <c r="AL63" t="s">
        <v>108</v>
      </c>
      <c r="AM63" t="s">
        <v>160</v>
      </c>
      <c r="AN63" t="s">
        <v>965</v>
      </c>
      <c r="AO63" t="s">
        <v>966</v>
      </c>
      <c r="AP63" t="s">
        <v>967</v>
      </c>
      <c r="AQ63" t="s">
        <v>74</v>
      </c>
      <c r="AR63" t="s">
        <v>968</v>
      </c>
      <c r="AS63" t="s">
        <v>969</v>
      </c>
      <c r="AT63" t="s">
        <v>91</v>
      </c>
      <c r="AU63">
        <v>2001</v>
      </c>
      <c r="AV63">
        <v>138</v>
      </c>
      <c r="AW63">
        <v>1</v>
      </c>
      <c r="AX63" t="s">
        <v>74</v>
      </c>
      <c r="AY63" t="s">
        <v>74</v>
      </c>
      <c r="AZ63" t="s">
        <v>74</v>
      </c>
      <c r="BA63" t="s">
        <v>74</v>
      </c>
      <c r="BB63">
        <v>39</v>
      </c>
      <c r="BC63">
        <v>52</v>
      </c>
      <c r="BD63" t="s">
        <v>74</v>
      </c>
      <c r="BE63" t="s">
        <v>970</v>
      </c>
      <c r="BF63" t="str">
        <f>HYPERLINK("http://dx.doi.org/10.1017/S0016756801004927","http://dx.doi.org/10.1017/S0016756801004927")</f>
        <v>http://dx.doi.org/10.1017/S0016756801004927</v>
      </c>
      <c r="BG63" t="s">
        <v>74</v>
      </c>
      <c r="BH63" t="s">
        <v>74</v>
      </c>
      <c r="BI63">
        <v>14</v>
      </c>
      <c r="BJ63" t="s">
        <v>595</v>
      </c>
      <c r="BK63" t="s">
        <v>94</v>
      </c>
      <c r="BL63" t="s">
        <v>597</v>
      </c>
      <c r="BM63" t="s">
        <v>971</v>
      </c>
      <c r="BN63" t="s">
        <v>74</v>
      </c>
      <c r="BO63" t="s">
        <v>74</v>
      </c>
      <c r="BP63" t="s">
        <v>74</v>
      </c>
      <c r="BQ63" t="s">
        <v>74</v>
      </c>
      <c r="BR63" t="s">
        <v>97</v>
      </c>
      <c r="BS63" t="s">
        <v>972</v>
      </c>
      <c r="BT63" t="str">
        <f>HYPERLINK("https%3A%2F%2Fwww.webofscience.com%2Fwos%2Fwoscc%2Ffull-record%2FWOS:000167421700004","View Full Record in Web of Science")</f>
        <v>View Full Record in Web of Science</v>
      </c>
    </row>
    <row r="64" spans="1:72" x14ac:dyDescent="0.15">
      <c r="A64" t="s">
        <v>72</v>
      </c>
      <c r="B64" t="s">
        <v>973</v>
      </c>
      <c r="C64" t="s">
        <v>74</v>
      </c>
      <c r="D64" t="s">
        <v>74</v>
      </c>
      <c r="E64" t="s">
        <v>74</v>
      </c>
      <c r="F64" t="s">
        <v>973</v>
      </c>
      <c r="G64" t="s">
        <v>74</v>
      </c>
      <c r="H64" t="s">
        <v>74</v>
      </c>
      <c r="I64" t="s">
        <v>974</v>
      </c>
      <c r="J64" t="s">
        <v>975</v>
      </c>
      <c r="K64" t="s">
        <v>74</v>
      </c>
      <c r="L64" t="s">
        <v>74</v>
      </c>
      <c r="M64" t="s">
        <v>77</v>
      </c>
      <c r="N64" t="s">
        <v>78</v>
      </c>
      <c r="O64" t="s">
        <v>74</v>
      </c>
      <c r="P64" t="s">
        <v>74</v>
      </c>
      <c r="Q64" t="s">
        <v>74</v>
      </c>
      <c r="R64" t="s">
        <v>74</v>
      </c>
      <c r="S64" t="s">
        <v>74</v>
      </c>
      <c r="T64" t="s">
        <v>976</v>
      </c>
      <c r="U64" t="s">
        <v>74</v>
      </c>
      <c r="V64" t="s">
        <v>977</v>
      </c>
      <c r="W64" t="s">
        <v>978</v>
      </c>
      <c r="X64" t="s">
        <v>979</v>
      </c>
      <c r="Y64" t="s">
        <v>980</v>
      </c>
      <c r="Z64" t="s">
        <v>74</v>
      </c>
      <c r="AA64" t="s">
        <v>74</v>
      </c>
      <c r="AB64" t="s">
        <v>74</v>
      </c>
      <c r="AC64" t="s">
        <v>74</v>
      </c>
      <c r="AD64" t="s">
        <v>74</v>
      </c>
      <c r="AE64" t="s">
        <v>74</v>
      </c>
      <c r="AF64" t="s">
        <v>74</v>
      </c>
      <c r="AG64">
        <v>17</v>
      </c>
      <c r="AH64">
        <v>31</v>
      </c>
      <c r="AI64">
        <v>35</v>
      </c>
      <c r="AJ64">
        <v>0</v>
      </c>
      <c r="AK64">
        <v>10</v>
      </c>
      <c r="AL64" t="s">
        <v>981</v>
      </c>
      <c r="AM64" t="s">
        <v>982</v>
      </c>
      <c r="AN64" t="s">
        <v>983</v>
      </c>
      <c r="AO64" t="s">
        <v>984</v>
      </c>
      <c r="AP64" t="s">
        <v>74</v>
      </c>
      <c r="AQ64" t="s">
        <v>74</v>
      </c>
      <c r="AR64" t="s">
        <v>975</v>
      </c>
      <c r="AS64" t="s">
        <v>597</v>
      </c>
      <c r="AT64" t="s">
        <v>91</v>
      </c>
      <c r="AU64">
        <v>2001</v>
      </c>
      <c r="AV64">
        <v>29</v>
      </c>
      <c r="AW64">
        <v>1</v>
      </c>
      <c r="AX64" t="s">
        <v>74</v>
      </c>
      <c r="AY64" t="s">
        <v>74</v>
      </c>
      <c r="AZ64" t="s">
        <v>74</v>
      </c>
      <c r="BA64" t="s">
        <v>74</v>
      </c>
      <c r="BB64">
        <v>67</v>
      </c>
      <c r="BC64">
        <v>70</v>
      </c>
      <c r="BD64" t="s">
        <v>74</v>
      </c>
      <c r="BE64" t="s">
        <v>985</v>
      </c>
      <c r="BF64" t="str">
        <f>HYPERLINK("http://dx.doi.org/10.1130/0091-7613(2001)029&lt;0067:DTAISE&gt;2.0.CO;2","http://dx.doi.org/10.1130/0091-7613(2001)029&lt;0067:DTAISE&gt;2.0.CO;2")</f>
        <v>http://dx.doi.org/10.1130/0091-7613(2001)029&lt;0067:DTAISE&gt;2.0.CO;2</v>
      </c>
      <c r="BG64" t="s">
        <v>74</v>
      </c>
      <c r="BH64" t="s">
        <v>74</v>
      </c>
      <c r="BI64">
        <v>4</v>
      </c>
      <c r="BJ64" t="s">
        <v>597</v>
      </c>
      <c r="BK64" t="s">
        <v>94</v>
      </c>
      <c r="BL64" t="s">
        <v>597</v>
      </c>
      <c r="BM64" t="s">
        <v>986</v>
      </c>
      <c r="BN64" t="s">
        <v>74</v>
      </c>
      <c r="BO64" t="s">
        <v>74</v>
      </c>
      <c r="BP64" t="s">
        <v>74</v>
      </c>
      <c r="BQ64" t="s">
        <v>74</v>
      </c>
      <c r="BR64" t="s">
        <v>97</v>
      </c>
      <c r="BS64" t="s">
        <v>987</v>
      </c>
      <c r="BT64" t="str">
        <f>HYPERLINK("https%3A%2F%2Fwww.webofscience.com%2Fwos%2Fwoscc%2Ffull-record%2FWOS:000166441700017","View Full Record in Web of Science")</f>
        <v>View Full Record in Web of Science</v>
      </c>
    </row>
    <row r="65" spans="1:72" x14ac:dyDescent="0.15">
      <c r="A65" t="s">
        <v>72</v>
      </c>
      <c r="B65" t="s">
        <v>988</v>
      </c>
      <c r="C65" t="s">
        <v>74</v>
      </c>
      <c r="D65" t="s">
        <v>74</v>
      </c>
      <c r="E65" t="s">
        <v>74</v>
      </c>
      <c r="F65" t="s">
        <v>988</v>
      </c>
      <c r="G65" t="s">
        <v>74</v>
      </c>
      <c r="H65" t="s">
        <v>74</v>
      </c>
      <c r="I65" t="s">
        <v>989</v>
      </c>
      <c r="J65" t="s">
        <v>975</v>
      </c>
      <c r="K65" t="s">
        <v>74</v>
      </c>
      <c r="L65" t="s">
        <v>74</v>
      </c>
      <c r="M65" t="s">
        <v>77</v>
      </c>
      <c r="N65" t="s">
        <v>78</v>
      </c>
      <c r="O65" t="s">
        <v>74</v>
      </c>
      <c r="P65" t="s">
        <v>74</v>
      </c>
      <c r="Q65" t="s">
        <v>74</v>
      </c>
      <c r="R65" t="s">
        <v>74</v>
      </c>
      <c r="S65" t="s">
        <v>74</v>
      </c>
      <c r="T65" t="s">
        <v>990</v>
      </c>
      <c r="U65" t="s">
        <v>991</v>
      </c>
      <c r="V65" t="s">
        <v>992</v>
      </c>
      <c r="W65" t="s">
        <v>993</v>
      </c>
      <c r="X65" t="s">
        <v>994</v>
      </c>
      <c r="Y65" t="s">
        <v>995</v>
      </c>
      <c r="Z65" t="s">
        <v>74</v>
      </c>
      <c r="AA65" t="s">
        <v>74</v>
      </c>
      <c r="AB65" t="s">
        <v>996</v>
      </c>
      <c r="AC65" t="s">
        <v>74</v>
      </c>
      <c r="AD65" t="s">
        <v>74</v>
      </c>
      <c r="AE65" t="s">
        <v>74</v>
      </c>
      <c r="AF65" t="s">
        <v>74</v>
      </c>
      <c r="AG65">
        <v>24</v>
      </c>
      <c r="AH65">
        <v>11</v>
      </c>
      <c r="AI65">
        <v>12</v>
      </c>
      <c r="AJ65">
        <v>0</v>
      </c>
      <c r="AK65">
        <v>8</v>
      </c>
      <c r="AL65" t="s">
        <v>981</v>
      </c>
      <c r="AM65" t="s">
        <v>982</v>
      </c>
      <c r="AN65" t="s">
        <v>983</v>
      </c>
      <c r="AO65" t="s">
        <v>984</v>
      </c>
      <c r="AP65" t="s">
        <v>74</v>
      </c>
      <c r="AQ65" t="s">
        <v>74</v>
      </c>
      <c r="AR65" t="s">
        <v>975</v>
      </c>
      <c r="AS65" t="s">
        <v>597</v>
      </c>
      <c r="AT65" t="s">
        <v>91</v>
      </c>
      <c r="AU65">
        <v>2001</v>
      </c>
      <c r="AV65">
        <v>29</v>
      </c>
      <c r="AW65">
        <v>1</v>
      </c>
      <c r="AX65" t="s">
        <v>74</v>
      </c>
      <c r="AY65" t="s">
        <v>74</v>
      </c>
      <c r="AZ65" t="s">
        <v>74</v>
      </c>
      <c r="BA65" t="s">
        <v>74</v>
      </c>
      <c r="BB65">
        <v>71</v>
      </c>
      <c r="BC65">
        <v>74</v>
      </c>
      <c r="BD65" t="s">
        <v>74</v>
      </c>
      <c r="BE65" t="s">
        <v>997</v>
      </c>
      <c r="BF65" t="str">
        <f>HYPERLINK("http://dx.doi.org/10.1130/0091-7613(2001)029&lt;0071:PROPIC&gt;2.0.CO;2","http://dx.doi.org/10.1130/0091-7613(2001)029&lt;0071:PROPIC&gt;2.0.CO;2")</f>
        <v>http://dx.doi.org/10.1130/0091-7613(2001)029&lt;0071:PROPIC&gt;2.0.CO;2</v>
      </c>
      <c r="BG65" t="s">
        <v>74</v>
      </c>
      <c r="BH65" t="s">
        <v>74</v>
      </c>
      <c r="BI65">
        <v>4</v>
      </c>
      <c r="BJ65" t="s">
        <v>597</v>
      </c>
      <c r="BK65" t="s">
        <v>94</v>
      </c>
      <c r="BL65" t="s">
        <v>597</v>
      </c>
      <c r="BM65" t="s">
        <v>986</v>
      </c>
      <c r="BN65" t="s">
        <v>74</v>
      </c>
      <c r="BO65" t="s">
        <v>74</v>
      </c>
      <c r="BP65" t="s">
        <v>74</v>
      </c>
      <c r="BQ65" t="s">
        <v>74</v>
      </c>
      <c r="BR65" t="s">
        <v>97</v>
      </c>
      <c r="BS65" t="s">
        <v>998</v>
      </c>
      <c r="BT65" t="str">
        <f>HYPERLINK("https%3A%2F%2Fwww.webofscience.com%2Fwos%2Fwoscc%2Ffull-record%2FWOS:000166441700018","View Full Record in Web of Science")</f>
        <v>View Full Record in Web of Science</v>
      </c>
    </row>
    <row r="66" spans="1:72" x14ac:dyDescent="0.15">
      <c r="A66" t="s">
        <v>72</v>
      </c>
      <c r="B66" t="s">
        <v>999</v>
      </c>
      <c r="C66" t="s">
        <v>74</v>
      </c>
      <c r="D66" t="s">
        <v>74</v>
      </c>
      <c r="E66" t="s">
        <v>74</v>
      </c>
      <c r="F66" t="s">
        <v>999</v>
      </c>
      <c r="G66" t="s">
        <v>74</v>
      </c>
      <c r="H66" t="s">
        <v>74</v>
      </c>
      <c r="I66" t="s">
        <v>1000</v>
      </c>
      <c r="J66" t="s">
        <v>1001</v>
      </c>
      <c r="K66" t="s">
        <v>74</v>
      </c>
      <c r="L66" t="s">
        <v>74</v>
      </c>
      <c r="M66" t="s">
        <v>77</v>
      </c>
      <c r="N66" t="s">
        <v>78</v>
      </c>
      <c r="O66" t="s">
        <v>74</v>
      </c>
      <c r="P66" t="s">
        <v>74</v>
      </c>
      <c r="Q66" t="s">
        <v>74</v>
      </c>
      <c r="R66" t="s">
        <v>74</v>
      </c>
      <c r="S66" t="s">
        <v>74</v>
      </c>
      <c r="T66" t="s">
        <v>74</v>
      </c>
      <c r="U66" t="s">
        <v>1002</v>
      </c>
      <c r="V66" t="s">
        <v>1003</v>
      </c>
      <c r="W66" t="s">
        <v>1004</v>
      </c>
      <c r="X66" t="s">
        <v>1005</v>
      </c>
      <c r="Y66" t="s">
        <v>1006</v>
      </c>
      <c r="Z66" t="s">
        <v>74</v>
      </c>
      <c r="AA66" t="s">
        <v>74</v>
      </c>
      <c r="AB66" t="s">
        <v>74</v>
      </c>
      <c r="AC66" t="s">
        <v>74</v>
      </c>
      <c r="AD66" t="s">
        <v>74</v>
      </c>
      <c r="AE66" t="s">
        <v>74</v>
      </c>
      <c r="AF66" t="s">
        <v>74</v>
      </c>
      <c r="AG66">
        <v>22</v>
      </c>
      <c r="AH66">
        <v>5</v>
      </c>
      <c r="AI66">
        <v>5</v>
      </c>
      <c r="AJ66">
        <v>0</v>
      </c>
      <c r="AK66">
        <v>0</v>
      </c>
      <c r="AL66" t="s">
        <v>1007</v>
      </c>
      <c r="AM66" t="s">
        <v>160</v>
      </c>
      <c r="AN66" t="s">
        <v>1008</v>
      </c>
      <c r="AO66" t="s">
        <v>1009</v>
      </c>
      <c r="AP66" t="s">
        <v>1010</v>
      </c>
      <c r="AQ66" t="s">
        <v>74</v>
      </c>
      <c r="AR66" t="s">
        <v>1011</v>
      </c>
      <c r="AS66" t="s">
        <v>1012</v>
      </c>
      <c r="AT66" t="s">
        <v>1013</v>
      </c>
      <c r="AU66">
        <v>2001</v>
      </c>
      <c r="AV66">
        <v>41</v>
      </c>
      <c r="AW66">
        <v>1</v>
      </c>
      <c r="AX66" t="s">
        <v>74</v>
      </c>
      <c r="AY66" t="s">
        <v>74</v>
      </c>
      <c r="AZ66" t="s">
        <v>74</v>
      </c>
      <c r="BA66" t="s">
        <v>74</v>
      </c>
      <c r="BB66">
        <v>65</v>
      </c>
      <c r="BC66">
        <v>73</v>
      </c>
      <c r="BD66" t="s">
        <v>74</v>
      </c>
      <c r="BE66" t="s">
        <v>74</v>
      </c>
      <c r="BF66" t="s">
        <v>74</v>
      </c>
      <c r="BG66" t="s">
        <v>74</v>
      </c>
      <c r="BH66" t="s">
        <v>74</v>
      </c>
      <c r="BI66">
        <v>9</v>
      </c>
      <c r="BJ66" t="s">
        <v>953</v>
      </c>
      <c r="BK66" t="s">
        <v>94</v>
      </c>
      <c r="BL66" t="s">
        <v>953</v>
      </c>
      <c r="BM66" t="s">
        <v>1014</v>
      </c>
      <c r="BN66" t="s">
        <v>74</v>
      </c>
      <c r="BO66" t="s">
        <v>74</v>
      </c>
      <c r="BP66" t="s">
        <v>74</v>
      </c>
      <c r="BQ66" t="s">
        <v>74</v>
      </c>
      <c r="BR66" t="s">
        <v>97</v>
      </c>
      <c r="BS66" t="s">
        <v>1015</v>
      </c>
      <c r="BT66" t="str">
        <f>HYPERLINK("https%3A%2F%2Fwww.webofscience.com%2Fwos%2Fwoscc%2Ffull-record%2FWOS:000167208900010","View Full Record in Web of Science")</f>
        <v>View Full Record in Web of Science</v>
      </c>
    </row>
    <row r="67" spans="1:72" x14ac:dyDescent="0.15">
      <c r="A67" t="s">
        <v>72</v>
      </c>
      <c r="B67" t="s">
        <v>1016</v>
      </c>
      <c r="C67" t="s">
        <v>74</v>
      </c>
      <c r="D67" t="s">
        <v>74</v>
      </c>
      <c r="E67" t="s">
        <v>74</v>
      </c>
      <c r="F67" t="s">
        <v>1016</v>
      </c>
      <c r="G67" t="s">
        <v>74</v>
      </c>
      <c r="H67" t="s">
        <v>74</v>
      </c>
      <c r="I67" t="s">
        <v>1017</v>
      </c>
      <c r="J67" t="s">
        <v>1001</v>
      </c>
      <c r="K67" t="s">
        <v>74</v>
      </c>
      <c r="L67" t="s">
        <v>74</v>
      </c>
      <c r="M67" t="s">
        <v>77</v>
      </c>
      <c r="N67" t="s">
        <v>78</v>
      </c>
      <c r="O67" t="s">
        <v>74</v>
      </c>
      <c r="P67" t="s">
        <v>74</v>
      </c>
      <c r="Q67" t="s">
        <v>74</v>
      </c>
      <c r="R67" t="s">
        <v>74</v>
      </c>
      <c r="S67" t="s">
        <v>74</v>
      </c>
      <c r="T67" t="s">
        <v>74</v>
      </c>
      <c r="U67" t="s">
        <v>1018</v>
      </c>
      <c r="V67" t="s">
        <v>1019</v>
      </c>
      <c r="W67" t="s">
        <v>1020</v>
      </c>
      <c r="X67" t="s">
        <v>1021</v>
      </c>
      <c r="Y67" t="s">
        <v>1022</v>
      </c>
      <c r="Z67" t="s">
        <v>74</v>
      </c>
      <c r="AA67" t="s">
        <v>1023</v>
      </c>
      <c r="AB67" t="s">
        <v>1024</v>
      </c>
      <c r="AC67" t="s">
        <v>74</v>
      </c>
      <c r="AD67" t="s">
        <v>74</v>
      </c>
      <c r="AE67" t="s">
        <v>74</v>
      </c>
      <c r="AF67" t="s">
        <v>74</v>
      </c>
      <c r="AG67">
        <v>37</v>
      </c>
      <c r="AH67">
        <v>1</v>
      </c>
      <c r="AI67">
        <v>1</v>
      </c>
      <c r="AJ67">
        <v>0</v>
      </c>
      <c r="AK67">
        <v>1</v>
      </c>
      <c r="AL67" t="s">
        <v>1025</v>
      </c>
      <c r="AM67" t="s">
        <v>1026</v>
      </c>
      <c r="AN67" t="s">
        <v>1027</v>
      </c>
      <c r="AO67" t="s">
        <v>1009</v>
      </c>
      <c r="AP67" t="s">
        <v>74</v>
      </c>
      <c r="AQ67" t="s">
        <v>74</v>
      </c>
      <c r="AR67" t="s">
        <v>1011</v>
      </c>
      <c r="AS67" t="s">
        <v>1012</v>
      </c>
      <c r="AT67" t="s">
        <v>1013</v>
      </c>
      <c r="AU67">
        <v>2001</v>
      </c>
      <c r="AV67">
        <v>41</v>
      </c>
      <c r="AW67">
        <v>1</v>
      </c>
      <c r="AX67" t="s">
        <v>74</v>
      </c>
      <c r="AY67" t="s">
        <v>74</v>
      </c>
      <c r="AZ67" t="s">
        <v>74</v>
      </c>
      <c r="BA67" t="s">
        <v>74</v>
      </c>
      <c r="BB67">
        <v>114</v>
      </c>
      <c r="BC67">
        <v>119</v>
      </c>
      <c r="BD67" t="s">
        <v>74</v>
      </c>
      <c r="BE67" t="s">
        <v>74</v>
      </c>
      <c r="BF67" t="s">
        <v>74</v>
      </c>
      <c r="BG67" t="s">
        <v>74</v>
      </c>
      <c r="BH67" t="s">
        <v>74</v>
      </c>
      <c r="BI67">
        <v>6</v>
      </c>
      <c r="BJ67" t="s">
        <v>953</v>
      </c>
      <c r="BK67" t="s">
        <v>94</v>
      </c>
      <c r="BL67" t="s">
        <v>953</v>
      </c>
      <c r="BM67" t="s">
        <v>1014</v>
      </c>
      <c r="BN67" t="s">
        <v>74</v>
      </c>
      <c r="BO67" t="s">
        <v>74</v>
      </c>
      <c r="BP67" t="s">
        <v>74</v>
      </c>
      <c r="BQ67" t="s">
        <v>74</v>
      </c>
      <c r="BR67" t="s">
        <v>97</v>
      </c>
      <c r="BS67" t="s">
        <v>1028</v>
      </c>
      <c r="BT67" t="str">
        <f>HYPERLINK("https%3A%2F%2Fwww.webofscience.com%2Fwos%2Fwoscc%2Ffull-record%2FWOS:000167208900018","View Full Record in Web of Science")</f>
        <v>View Full Record in Web of Science</v>
      </c>
    </row>
    <row r="68" spans="1:72" x14ac:dyDescent="0.15">
      <c r="A68" t="s">
        <v>72</v>
      </c>
      <c r="B68" t="s">
        <v>1029</v>
      </c>
      <c r="C68" t="s">
        <v>74</v>
      </c>
      <c r="D68" t="s">
        <v>74</v>
      </c>
      <c r="E68" t="s">
        <v>74</v>
      </c>
      <c r="F68" t="s">
        <v>1029</v>
      </c>
      <c r="G68" t="s">
        <v>74</v>
      </c>
      <c r="H68" t="s">
        <v>74</v>
      </c>
      <c r="I68" t="s">
        <v>1030</v>
      </c>
      <c r="J68" t="s">
        <v>1031</v>
      </c>
      <c r="K68" t="s">
        <v>74</v>
      </c>
      <c r="L68" t="s">
        <v>74</v>
      </c>
      <c r="M68" t="s">
        <v>77</v>
      </c>
      <c r="N68" t="s">
        <v>78</v>
      </c>
      <c r="O68" t="s">
        <v>74</v>
      </c>
      <c r="P68" t="s">
        <v>74</v>
      </c>
      <c r="Q68" t="s">
        <v>74</v>
      </c>
      <c r="R68" t="s">
        <v>74</v>
      </c>
      <c r="S68" t="s">
        <v>74</v>
      </c>
      <c r="T68" t="s">
        <v>1032</v>
      </c>
      <c r="U68" t="s">
        <v>1033</v>
      </c>
      <c r="V68" t="s">
        <v>1034</v>
      </c>
      <c r="W68" t="s">
        <v>1035</v>
      </c>
      <c r="X68" t="s">
        <v>1036</v>
      </c>
      <c r="Y68" t="s">
        <v>1037</v>
      </c>
      <c r="Z68" t="s">
        <v>1038</v>
      </c>
      <c r="AA68" t="s">
        <v>74</v>
      </c>
      <c r="AB68" t="s">
        <v>74</v>
      </c>
      <c r="AC68" t="s">
        <v>74</v>
      </c>
      <c r="AD68" t="s">
        <v>74</v>
      </c>
      <c r="AE68" t="s">
        <v>74</v>
      </c>
      <c r="AF68" t="s">
        <v>74</v>
      </c>
      <c r="AG68">
        <v>60</v>
      </c>
      <c r="AH68">
        <v>14</v>
      </c>
      <c r="AI68">
        <v>14</v>
      </c>
      <c r="AJ68">
        <v>0</v>
      </c>
      <c r="AK68">
        <v>8</v>
      </c>
      <c r="AL68" t="s">
        <v>1039</v>
      </c>
      <c r="AM68" t="s">
        <v>1040</v>
      </c>
      <c r="AN68" t="s">
        <v>1041</v>
      </c>
      <c r="AO68" t="s">
        <v>1042</v>
      </c>
      <c r="AP68" t="s">
        <v>1043</v>
      </c>
      <c r="AQ68" t="s">
        <v>74</v>
      </c>
      <c r="AR68" t="s">
        <v>1044</v>
      </c>
      <c r="AS68" t="s">
        <v>1045</v>
      </c>
      <c r="AT68" t="s">
        <v>74</v>
      </c>
      <c r="AU68">
        <v>2001</v>
      </c>
      <c r="AV68">
        <v>95</v>
      </c>
      <c r="AW68" t="s">
        <v>1046</v>
      </c>
      <c r="AX68" t="s">
        <v>74</v>
      </c>
      <c r="AY68" t="s">
        <v>74</v>
      </c>
      <c r="AZ68" t="s">
        <v>74</v>
      </c>
      <c r="BA68" t="s">
        <v>74</v>
      </c>
      <c r="BB68">
        <v>185</v>
      </c>
      <c r="BC68">
        <v>226</v>
      </c>
      <c r="BD68" t="s">
        <v>74</v>
      </c>
      <c r="BE68" t="s">
        <v>1047</v>
      </c>
      <c r="BF68" t="str">
        <f>HYPERLINK("http://dx.doi.org/10.1080/03091920108203725","http://dx.doi.org/10.1080/03091920108203725")</f>
        <v>http://dx.doi.org/10.1080/03091920108203725</v>
      </c>
      <c r="BG68" t="s">
        <v>74</v>
      </c>
      <c r="BH68" t="s">
        <v>74</v>
      </c>
      <c r="BI68">
        <v>42</v>
      </c>
      <c r="BJ68" t="s">
        <v>1048</v>
      </c>
      <c r="BK68" t="s">
        <v>94</v>
      </c>
      <c r="BL68" t="s">
        <v>1048</v>
      </c>
      <c r="BM68" t="s">
        <v>1049</v>
      </c>
      <c r="BN68" t="s">
        <v>74</v>
      </c>
      <c r="BO68" t="s">
        <v>74</v>
      </c>
      <c r="BP68" t="s">
        <v>74</v>
      </c>
      <c r="BQ68" t="s">
        <v>74</v>
      </c>
      <c r="BR68" t="s">
        <v>97</v>
      </c>
      <c r="BS68" t="s">
        <v>1050</v>
      </c>
      <c r="BT68" t="str">
        <f>HYPERLINK("https%3A%2F%2Fwww.webofscience.com%2Fwos%2Fwoscc%2Ffull-record%2FWOS:000180158000001","View Full Record in Web of Science")</f>
        <v>View Full Record in Web of Science</v>
      </c>
    </row>
    <row r="69" spans="1:72" x14ac:dyDescent="0.15">
      <c r="A69" t="s">
        <v>72</v>
      </c>
      <c r="B69" t="s">
        <v>1051</v>
      </c>
      <c r="C69" t="s">
        <v>74</v>
      </c>
      <c r="D69" t="s">
        <v>74</v>
      </c>
      <c r="E69" t="s">
        <v>74</v>
      </c>
      <c r="F69" t="s">
        <v>1051</v>
      </c>
      <c r="G69" t="s">
        <v>74</v>
      </c>
      <c r="H69" t="s">
        <v>74</v>
      </c>
      <c r="I69" t="s">
        <v>1052</v>
      </c>
      <c r="J69" t="s">
        <v>1053</v>
      </c>
      <c r="K69" t="s">
        <v>74</v>
      </c>
      <c r="L69" t="s">
        <v>74</v>
      </c>
      <c r="M69" t="s">
        <v>77</v>
      </c>
      <c r="N69" t="s">
        <v>78</v>
      </c>
      <c r="O69" t="s">
        <v>74</v>
      </c>
      <c r="P69" t="s">
        <v>74</v>
      </c>
      <c r="Q69" t="s">
        <v>74</v>
      </c>
      <c r="R69" t="s">
        <v>74</v>
      </c>
      <c r="S69" t="s">
        <v>74</v>
      </c>
      <c r="T69" t="s">
        <v>74</v>
      </c>
      <c r="U69" t="s">
        <v>1054</v>
      </c>
      <c r="V69" t="s">
        <v>1055</v>
      </c>
      <c r="W69" t="s">
        <v>1056</v>
      </c>
      <c r="X69" t="s">
        <v>1057</v>
      </c>
      <c r="Y69" t="s">
        <v>1058</v>
      </c>
      <c r="Z69" t="s">
        <v>74</v>
      </c>
      <c r="AA69" t="s">
        <v>74</v>
      </c>
      <c r="AB69" t="s">
        <v>74</v>
      </c>
      <c r="AC69" t="s">
        <v>74</v>
      </c>
      <c r="AD69" t="s">
        <v>74</v>
      </c>
      <c r="AE69" t="s">
        <v>74</v>
      </c>
      <c r="AF69" t="s">
        <v>74</v>
      </c>
      <c r="AG69">
        <v>18</v>
      </c>
      <c r="AH69">
        <v>5</v>
      </c>
      <c r="AI69">
        <v>5</v>
      </c>
      <c r="AJ69">
        <v>0</v>
      </c>
      <c r="AK69">
        <v>2</v>
      </c>
      <c r="AL69" t="s">
        <v>1059</v>
      </c>
      <c r="AM69" t="s">
        <v>1060</v>
      </c>
      <c r="AN69" t="s">
        <v>1061</v>
      </c>
      <c r="AO69" t="s">
        <v>1062</v>
      </c>
      <c r="AP69" t="s">
        <v>74</v>
      </c>
      <c r="AQ69" t="s">
        <v>74</v>
      </c>
      <c r="AR69" t="s">
        <v>1063</v>
      </c>
      <c r="AS69" t="s">
        <v>1064</v>
      </c>
      <c r="AT69" t="s">
        <v>1065</v>
      </c>
      <c r="AU69">
        <v>2001</v>
      </c>
      <c r="AV69">
        <v>28</v>
      </c>
      <c r="AW69">
        <v>1</v>
      </c>
      <c r="AX69" t="s">
        <v>74</v>
      </c>
      <c r="AY69" t="s">
        <v>74</v>
      </c>
      <c r="AZ69" t="s">
        <v>74</v>
      </c>
      <c r="BA69" t="s">
        <v>74</v>
      </c>
      <c r="BB69">
        <v>135</v>
      </c>
      <c r="BC69">
        <v>138</v>
      </c>
      <c r="BD69" t="s">
        <v>74</v>
      </c>
      <c r="BE69" t="s">
        <v>1066</v>
      </c>
      <c r="BF69" t="str">
        <f>HYPERLINK("http://dx.doi.org/10.1029/2000GL011854","http://dx.doi.org/10.1029/2000GL011854")</f>
        <v>http://dx.doi.org/10.1029/2000GL011854</v>
      </c>
      <c r="BG69" t="s">
        <v>74</v>
      </c>
      <c r="BH69" t="s">
        <v>74</v>
      </c>
      <c r="BI69">
        <v>4</v>
      </c>
      <c r="BJ69" t="s">
        <v>595</v>
      </c>
      <c r="BK69" t="s">
        <v>94</v>
      </c>
      <c r="BL69" t="s">
        <v>597</v>
      </c>
      <c r="BM69" t="s">
        <v>1067</v>
      </c>
      <c r="BN69" t="s">
        <v>74</v>
      </c>
      <c r="BO69" t="s">
        <v>1068</v>
      </c>
      <c r="BP69" t="s">
        <v>74</v>
      </c>
      <c r="BQ69" t="s">
        <v>74</v>
      </c>
      <c r="BR69" t="s">
        <v>97</v>
      </c>
      <c r="BS69" t="s">
        <v>1069</v>
      </c>
      <c r="BT69" t="str">
        <f>HYPERLINK("https%3A%2F%2Fwww.webofscience.com%2Fwos%2Fwoscc%2Ffull-record%2FWOS:000166291200036","View Full Record in Web of Science")</f>
        <v>View Full Record in Web of Science</v>
      </c>
    </row>
    <row r="70" spans="1:72" x14ac:dyDescent="0.15">
      <c r="A70" t="s">
        <v>209</v>
      </c>
      <c r="B70" t="s">
        <v>1070</v>
      </c>
      <c r="C70" t="s">
        <v>74</v>
      </c>
      <c r="D70" t="s">
        <v>1071</v>
      </c>
      <c r="E70" t="s">
        <v>74</v>
      </c>
      <c r="F70" t="s">
        <v>1070</v>
      </c>
      <c r="G70" t="s">
        <v>74</v>
      </c>
      <c r="H70" t="s">
        <v>74</v>
      </c>
      <c r="I70" t="s">
        <v>1072</v>
      </c>
      <c r="J70" t="s">
        <v>1073</v>
      </c>
      <c r="K70" t="s">
        <v>74</v>
      </c>
      <c r="L70" t="s">
        <v>74</v>
      </c>
      <c r="M70" t="s">
        <v>77</v>
      </c>
      <c r="N70" t="s">
        <v>214</v>
      </c>
      <c r="O70" t="s">
        <v>1074</v>
      </c>
      <c r="P70" t="s">
        <v>1075</v>
      </c>
      <c r="Q70" t="s">
        <v>1076</v>
      </c>
      <c r="R70" t="s">
        <v>74</v>
      </c>
      <c r="S70" t="s">
        <v>74</v>
      </c>
      <c r="T70" t="s">
        <v>74</v>
      </c>
      <c r="U70" t="s">
        <v>1077</v>
      </c>
      <c r="V70" t="s">
        <v>1078</v>
      </c>
      <c r="W70" t="s">
        <v>1079</v>
      </c>
      <c r="X70" t="s">
        <v>1080</v>
      </c>
      <c r="Y70" t="s">
        <v>1081</v>
      </c>
      <c r="Z70" t="s">
        <v>74</v>
      </c>
      <c r="AA70" t="s">
        <v>1082</v>
      </c>
      <c r="AB70" t="s">
        <v>74</v>
      </c>
      <c r="AC70" t="s">
        <v>74</v>
      </c>
      <c r="AD70" t="s">
        <v>74</v>
      </c>
      <c r="AE70" t="s">
        <v>74</v>
      </c>
      <c r="AF70" t="s">
        <v>74</v>
      </c>
      <c r="AG70">
        <v>23</v>
      </c>
      <c r="AH70">
        <v>0</v>
      </c>
      <c r="AI70">
        <v>0</v>
      </c>
      <c r="AJ70">
        <v>1</v>
      </c>
      <c r="AK70">
        <v>5</v>
      </c>
      <c r="AL70" t="s">
        <v>108</v>
      </c>
      <c r="AM70" t="s">
        <v>109</v>
      </c>
      <c r="AN70" t="s">
        <v>110</v>
      </c>
      <c r="AO70" t="s">
        <v>74</v>
      </c>
      <c r="AP70" t="s">
        <v>74</v>
      </c>
      <c r="AQ70" t="s">
        <v>1083</v>
      </c>
      <c r="AR70" t="s">
        <v>74</v>
      </c>
      <c r="AS70" t="s">
        <v>74</v>
      </c>
      <c r="AT70" t="s">
        <v>74</v>
      </c>
      <c r="AU70">
        <v>2001</v>
      </c>
      <c r="AV70" t="s">
        <v>74</v>
      </c>
      <c r="AW70" t="s">
        <v>74</v>
      </c>
      <c r="AX70" t="s">
        <v>74</v>
      </c>
      <c r="AY70" t="s">
        <v>74</v>
      </c>
      <c r="AZ70" t="s">
        <v>74</v>
      </c>
      <c r="BA70" t="s">
        <v>74</v>
      </c>
      <c r="BB70">
        <v>1</v>
      </c>
      <c r="BC70">
        <v>11</v>
      </c>
      <c r="BD70" t="s">
        <v>74</v>
      </c>
      <c r="BE70" t="s">
        <v>1084</v>
      </c>
      <c r="BF70" t="str">
        <f>HYPERLINK("http://dx.doi.org/10.1017/CBO9780511529429.004","http://dx.doi.org/10.1017/CBO9780511529429.004")</f>
        <v>http://dx.doi.org/10.1017/CBO9780511529429.004</v>
      </c>
      <c r="BG70" t="s">
        <v>74</v>
      </c>
      <c r="BH70" t="s">
        <v>74</v>
      </c>
      <c r="BI70">
        <v>11</v>
      </c>
      <c r="BJ70" t="s">
        <v>1085</v>
      </c>
      <c r="BK70" t="s">
        <v>229</v>
      </c>
      <c r="BL70" t="s">
        <v>1085</v>
      </c>
      <c r="BM70" t="s">
        <v>1086</v>
      </c>
      <c r="BN70" t="s">
        <v>74</v>
      </c>
      <c r="BO70" t="s">
        <v>74</v>
      </c>
      <c r="BP70" t="s">
        <v>74</v>
      </c>
      <c r="BQ70" t="s">
        <v>74</v>
      </c>
      <c r="BR70" t="s">
        <v>97</v>
      </c>
      <c r="BS70" t="s">
        <v>1087</v>
      </c>
      <c r="BT70" t="str">
        <f>HYPERLINK("https%3A%2F%2Fwww.webofscience.com%2Fwos%2Fwoscc%2Ffull-record%2FWOS:000172716500001","View Full Record in Web of Science")</f>
        <v>View Full Record in Web of Science</v>
      </c>
    </row>
    <row r="71" spans="1:72" x14ac:dyDescent="0.15">
      <c r="A71" t="s">
        <v>72</v>
      </c>
      <c r="B71" t="s">
        <v>1088</v>
      </c>
      <c r="C71" t="s">
        <v>74</v>
      </c>
      <c r="D71" t="s">
        <v>74</v>
      </c>
      <c r="E71" t="s">
        <v>74</v>
      </c>
      <c r="F71" t="s">
        <v>1088</v>
      </c>
      <c r="G71" t="s">
        <v>74</v>
      </c>
      <c r="H71" t="s">
        <v>74</v>
      </c>
      <c r="I71" t="s">
        <v>1089</v>
      </c>
      <c r="J71" t="s">
        <v>1090</v>
      </c>
      <c r="K71" t="s">
        <v>74</v>
      </c>
      <c r="L71" t="s">
        <v>74</v>
      </c>
      <c r="M71" t="s">
        <v>77</v>
      </c>
      <c r="N71" t="s">
        <v>78</v>
      </c>
      <c r="O71" t="s">
        <v>74</v>
      </c>
      <c r="P71" t="s">
        <v>74</v>
      </c>
      <c r="Q71" t="s">
        <v>74</v>
      </c>
      <c r="R71" t="s">
        <v>74</v>
      </c>
      <c r="S71" t="s">
        <v>74</v>
      </c>
      <c r="T71" t="s">
        <v>1091</v>
      </c>
      <c r="U71" t="s">
        <v>1092</v>
      </c>
      <c r="V71" t="s">
        <v>1093</v>
      </c>
      <c r="W71" t="s">
        <v>1094</v>
      </c>
      <c r="X71" t="s">
        <v>1095</v>
      </c>
      <c r="Y71" t="s">
        <v>1096</v>
      </c>
      <c r="Z71" t="s">
        <v>74</v>
      </c>
      <c r="AA71" t="s">
        <v>1097</v>
      </c>
      <c r="AB71" t="s">
        <v>74</v>
      </c>
      <c r="AC71" t="s">
        <v>74</v>
      </c>
      <c r="AD71" t="s">
        <v>74</v>
      </c>
      <c r="AE71" t="s">
        <v>74</v>
      </c>
      <c r="AF71" t="s">
        <v>74</v>
      </c>
      <c r="AG71">
        <v>50</v>
      </c>
      <c r="AH71">
        <v>119</v>
      </c>
      <c r="AI71">
        <v>135</v>
      </c>
      <c r="AJ71">
        <v>2</v>
      </c>
      <c r="AK71">
        <v>57</v>
      </c>
      <c r="AL71" t="s">
        <v>719</v>
      </c>
      <c r="AM71" t="s">
        <v>246</v>
      </c>
      <c r="AN71" t="s">
        <v>720</v>
      </c>
      <c r="AO71" t="s">
        <v>1098</v>
      </c>
      <c r="AP71" t="s">
        <v>74</v>
      </c>
      <c r="AQ71" t="s">
        <v>74</v>
      </c>
      <c r="AR71" t="s">
        <v>1099</v>
      </c>
      <c r="AS71" t="s">
        <v>1100</v>
      </c>
      <c r="AT71" t="s">
        <v>91</v>
      </c>
      <c r="AU71">
        <v>2001</v>
      </c>
      <c r="AV71">
        <v>7</v>
      </c>
      <c r="AW71">
        <v>1</v>
      </c>
      <c r="AX71" t="s">
        <v>74</v>
      </c>
      <c r="AY71" t="s">
        <v>74</v>
      </c>
      <c r="AZ71" t="s">
        <v>74</v>
      </c>
      <c r="BA71" t="s">
        <v>74</v>
      </c>
      <c r="BB71">
        <v>113</v>
      </c>
      <c r="BC71">
        <v>125</v>
      </c>
      <c r="BD71" t="s">
        <v>74</v>
      </c>
      <c r="BE71" t="s">
        <v>1101</v>
      </c>
      <c r="BF71" t="str">
        <f>HYPERLINK("http://dx.doi.org/10.1046/j.1365-2486.2001.00393.x","http://dx.doi.org/10.1046/j.1365-2486.2001.00393.x")</f>
        <v>http://dx.doi.org/10.1046/j.1365-2486.2001.00393.x</v>
      </c>
      <c r="BG71" t="s">
        <v>74</v>
      </c>
      <c r="BH71" t="s">
        <v>74</v>
      </c>
      <c r="BI71">
        <v>13</v>
      </c>
      <c r="BJ71" t="s">
        <v>1102</v>
      </c>
      <c r="BK71" t="s">
        <v>94</v>
      </c>
      <c r="BL71" t="s">
        <v>1103</v>
      </c>
      <c r="BM71" t="s">
        <v>1104</v>
      </c>
      <c r="BN71" t="s">
        <v>74</v>
      </c>
      <c r="BO71" t="s">
        <v>74</v>
      </c>
      <c r="BP71" t="s">
        <v>74</v>
      </c>
      <c r="BQ71" t="s">
        <v>74</v>
      </c>
      <c r="BR71" t="s">
        <v>97</v>
      </c>
      <c r="BS71" t="s">
        <v>1105</v>
      </c>
      <c r="BT71" t="str">
        <f>HYPERLINK("https%3A%2F%2Fwww.webofscience.com%2Fwos%2Fwoscc%2Ffull-record%2FWOS:000167235600008","View Full Record in Web of Science")</f>
        <v>View Full Record in Web of Science</v>
      </c>
    </row>
    <row r="72" spans="1:72" x14ac:dyDescent="0.15">
      <c r="A72" t="s">
        <v>1106</v>
      </c>
      <c r="B72" t="s">
        <v>1107</v>
      </c>
      <c r="C72" t="s">
        <v>74</v>
      </c>
      <c r="D72" t="s">
        <v>1108</v>
      </c>
      <c r="E72" t="s">
        <v>74</v>
      </c>
      <c r="F72" t="s">
        <v>1107</v>
      </c>
      <c r="G72" t="s">
        <v>74</v>
      </c>
      <c r="H72" t="s">
        <v>74</v>
      </c>
      <c r="I72" t="s">
        <v>1109</v>
      </c>
      <c r="J72" t="s">
        <v>1110</v>
      </c>
      <c r="K72" t="s">
        <v>1111</v>
      </c>
      <c r="L72" t="s">
        <v>74</v>
      </c>
      <c r="M72" t="s">
        <v>77</v>
      </c>
      <c r="N72" t="s">
        <v>576</v>
      </c>
      <c r="O72" t="s">
        <v>1112</v>
      </c>
      <c r="P72" t="s">
        <v>1113</v>
      </c>
      <c r="Q72" t="s">
        <v>1114</v>
      </c>
      <c r="R72" t="s">
        <v>74</v>
      </c>
      <c r="S72" t="s">
        <v>74</v>
      </c>
      <c r="T72" t="s">
        <v>74</v>
      </c>
      <c r="U72" t="s">
        <v>1115</v>
      </c>
      <c r="V72" t="s">
        <v>1116</v>
      </c>
      <c r="W72" t="s">
        <v>1117</v>
      </c>
      <c r="X72" t="s">
        <v>1118</v>
      </c>
      <c r="Y72" t="s">
        <v>1119</v>
      </c>
      <c r="Z72" t="s">
        <v>74</v>
      </c>
      <c r="AA72" t="s">
        <v>74</v>
      </c>
      <c r="AB72" t="s">
        <v>74</v>
      </c>
      <c r="AC72" t="s">
        <v>74</v>
      </c>
      <c r="AD72" t="s">
        <v>74</v>
      </c>
      <c r="AE72" t="s">
        <v>74</v>
      </c>
      <c r="AF72" t="s">
        <v>74</v>
      </c>
      <c r="AG72">
        <v>14</v>
      </c>
      <c r="AH72">
        <v>5</v>
      </c>
      <c r="AI72">
        <v>5</v>
      </c>
      <c r="AJ72">
        <v>0</v>
      </c>
      <c r="AK72">
        <v>3</v>
      </c>
      <c r="AL72" t="s">
        <v>1120</v>
      </c>
      <c r="AM72" t="s">
        <v>1121</v>
      </c>
      <c r="AN72" t="s">
        <v>1122</v>
      </c>
      <c r="AO72" t="s">
        <v>1123</v>
      </c>
      <c r="AP72" t="s">
        <v>74</v>
      </c>
      <c r="AQ72" t="s">
        <v>74</v>
      </c>
      <c r="AR72" t="s">
        <v>1124</v>
      </c>
      <c r="AS72" t="s">
        <v>74</v>
      </c>
      <c r="AT72" t="s">
        <v>74</v>
      </c>
      <c r="AU72">
        <v>2001</v>
      </c>
      <c r="AV72">
        <v>28</v>
      </c>
      <c r="AW72">
        <v>7</v>
      </c>
      <c r="AX72" t="s">
        <v>74</v>
      </c>
      <c r="AY72" t="s">
        <v>74</v>
      </c>
      <c r="AZ72" t="s">
        <v>74</v>
      </c>
      <c r="BA72" t="s">
        <v>74</v>
      </c>
      <c r="BB72">
        <v>965</v>
      </c>
      <c r="BC72">
        <v>970</v>
      </c>
      <c r="BD72" t="s">
        <v>74</v>
      </c>
      <c r="BE72" t="s">
        <v>1125</v>
      </c>
      <c r="BF72" t="str">
        <f>HYPERLINK("http://dx.doi.org/10.1016/S0273-1177(01)80025-9","http://dx.doi.org/10.1016/S0273-1177(01)80025-9")</f>
        <v>http://dx.doi.org/10.1016/S0273-1177(01)80025-9</v>
      </c>
      <c r="BG72" t="s">
        <v>74</v>
      </c>
      <c r="BH72" t="s">
        <v>74</v>
      </c>
      <c r="BI72">
        <v>6</v>
      </c>
      <c r="BJ72" t="s">
        <v>1126</v>
      </c>
      <c r="BK72" t="s">
        <v>596</v>
      </c>
      <c r="BL72" t="s">
        <v>1127</v>
      </c>
      <c r="BM72" t="s">
        <v>1128</v>
      </c>
      <c r="BN72" t="s">
        <v>74</v>
      </c>
      <c r="BO72" t="s">
        <v>74</v>
      </c>
      <c r="BP72" t="s">
        <v>74</v>
      </c>
      <c r="BQ72" t="s">
        <v>74</v>
      </c>
      <c r="BR72" t="s">
        <v>97</v>
      </c>
      <c r="BS72" t="s">
        <v>1129</v>
      </c>
      <c r="BT72" t="str">
        <f>HYPERLINK("https%3A%2F%2Fwww.webofscience.com%2Fwos%2Fwoscc%2Ffull-record%2FWOS:000173494800006","View Full Record in Web of Science")</f>
        <v>View Full Record in Web of Science</v>
      </c>
    </row>
    <row r="73" spans="1:72" x14ac:dyDescent="0.15">
      <c r="A73" t="s">
        <v>1106</v>
      </c>
      <c r="B73" t="s">
        <v>1130</v>
      </c>
      <c r="C73" t="s">
        <v>74</v>
      </c>
      <c r="D73" t="s">
        <v>1108</v>
      </c>
      <c r="E73" t="s">
        <v>74</v>
      </c>
      <c r="F73" t="s">
        <v>1130</v>
      </c>
      <c r="G73" t="s">
        <v>74</v>
      </c>
      <c r="H73" t="s">
        <v>74</v>
      </c>
      <c r="I73" t="s">
        <v>1131</v>
      </c>
      <c r="J73" t="s">
        <v>1110</v>
      </c>
      <c r="K73" t="s">
        <v>1111</v>
      </c>
      <c r="L73" t="s">
        <v>74</v>
      </c>
      <c r="M73" t="s">
        <v>77</v>
      </c>
      <c r="N73" t="s">
        <v>576</v>
      </c>
      <c r="O73" t="s">
        <v>1112</v>
      </c>
      <c r="P73" t="s">
        <v>1113</v>
      </c>
      <c r="Q73" t="s">
        <v>1114</v>
      </c>
      <c r="R73" t="s">
        <v>74</v>
      </c>
      <c r="S73" t="s">
        <v>74</v>
      </c>
      <c r="T73" t="s">
        <v>74</v>
      </c>
      <c r="U73" t="s">
        <v>1132</v>
      </c>
      <c r="V73" t="s">
        <v>1133</v>
      </c>
      <c r="W73" t="s">
        <v>1134</v>
      </c>
      <c r="X73" t="s">
        <v>74</v>
      </c>
      <c r="Y73" t="s">
        <v>1135</v>
      </c>
      <c r="Z73" t="s">
        <v>74</v>
      </c>
      <c r="AA73" t="s">
        <v>74</v>
      </c>
      <c r="AB73" t="s">
        <v>74</v>
      </c>
      <c r="AC73" t="s">
        <v>74</v>
      </c>
      <c r="AD73" t="s">
        <v>74</v>
      </c>
      <c r="AE73" t="s">
        <v>74</v>
      </c>
      <c r="AF73" t="s">
        <v>74</v>
      </c>
      <c r="AG73">
        <v>16</v>
      </c>
      <c r="AH73">
        <v>2</v>
      </c>
      <c r="AI73">
        <v>2</v>
      </c>
      <c r="AJ73">
        <v>0</v>
      </c>
      <c r="AK73">
        <v>1</v>
      </c>
      <c r="AL73" t="s">
        <v>1120</v>
      </c>
      <c r="AM73" t="s">
        <v>1121</v>
      </c>
      <c r="AN73" t="s">
        <v>1122</v>
      </c>
      <c r="AO73" t="s">
        <v>1123</v>
      </c>
      <c r="AP73" t="s">
        <v>74</v>
      </c>
      <c r="AQ73" t="s">
        <v>74</v>
      </c>
      <c r="AR73" t="s">
        <v>1124</v>
      </c>
      <c r="AS73" t="s">
        <v>74</v>
      </c>
      <c r="AT73" t="s">
        <v>74</v>
      </c>
      <c r="AU73">
        <v>2001</v>
      </c>
      <c r="AV73">
        <v>28</v>
      </c>
      <c r="AW73">
        <v>7</v>
      </c>
      <c r="AX73" t="s">
        <v>74</v>
      </c>
      <c r="AY73" t="s">
        <v>74</v>
      </c>
      <c r="AZ73" t="s">
        <v>74</v>
      </c>
      <c r="BA73" t="s">
        <v>74</v>
      </c>
      <c r="BB73">
        <v>971</v>
      </c>
      <c r="BC73">
        <v>980</v>
      </c>
      <c r="BD73" t="s">
        <v>74</v>
      </c>
      <c r="BE73" t="s">
        <v>1136</v>
      </c>
      <c r="BF73" t="str">
        <f>HYPERLINK("http://dx.doi.org/10.1016/S0273-1177(01)80026-0","http://dx.doi.org/10.1016/S0273-1177(01)80026-0")</f>
        <v>http://dx.doi.org/10.1016/S0273-1177(01)80026-0</v>
      </c>
      <c r="BG73" t="s">
        <v>74</v>
      </c>
      <c r="BH73" t="s">
        <v>74</v>
      </c>
      <c r="BI73">
        <v>10</v>
      </c>
      <c r="BJ73" t="s">
        <v>1126</v>
      </c>
      <c r="BK73" t="s">
        <v>596</v>
      </c>
      <c r="BL73" t="s">
        <v>1127</v>
      </c>
      <c r="BM73" t="s">
        <v>1128</v>
      </c>
      <c r="BN73" t="s">
        <v>74</v>
      </c>
      <c r="BO73" t="s">
        <v>74</v>
      </c>
      <c r="BP73" t="s">
        <v>74</v>
      </c>
      <c r="BQ73" t="s">
        <v>74</v>
      </c>
      <c r="BR73" t="s">
        <v>97</v>
      </c>
      <c r="BS73" t="s">
        <v>1137</v>
      </c>
      <c r="BT73" t="str">
        <f>HYPERLINK("https%3A%2F%2Fwww.webofscience.com%2Fwos%2Fwoscc%2Ffull-record%2FWOS:000173494800007","View Full Record in Web of Science")</f>
        <v>View Full Record in Web of Science</v>
      </c>
    </row>
    <row r="74" spans="1:72" x14ac:dyDescent="0.15">
      <c r="A74" t="s">
        <v>209</v>
      </c>
      <c r="B74" t="s">
        <v>1138</v>
      </c>
      <c r="C74" t="s">
        <v>74</v>
      </c>
      <c r="D74" t="s">
        <v>1139</v>
      </c>
      <c r="E74" t="s">
        <v>74</v>
      </c>
      <c r="F74" t="s">
        <v>1138</v>
      </c>
      <c r="G74" t="s">
        <v>74</v>
      </c>
      <c r="H74" t="s">
        <v>1140</v>
      </c>
      <c r="I74" t="s">
        <v>1141</v>
      </c>
      <c r="J74" t="s">
        <v>1142</v>
      </c>
      <c r="K74" t="s">
        <v>74</v>
      </c>
      <c r="L74" t="s">
        <v>74</v>
      </c>
      <c r="M74" t="s">
        <v>77</v>
      </c>
      <c r="N74" t="s">
        <v>214</v>
      </c>
      <c r="O74" t="s">
        <v>1143</v>
      </c>
      <c r="P74" t="s">
        <v>1144</v>
      </c>
      <c r="Q74" t="s">
        <v>1145</v>
      </c>
      <c r="R74" t="s">
        <v>74</v>
      </c>
      <c r="S74" t="s">
        <v>74</v>
      </c>
      <c r="T74" t="s">
        <v>74</v>
      </c>
      <c r="U74" t="s">
        <v>74</v>
      </c>
      <c r="V74" t="s">
        <v>1146</v>
      </c>
      <c r="W74" t="s">
        <v>1147</v>
      </c>
      <c r="X74" t="s">
        <v>1148</v>
      </c>
      <c r="Y74" t="s">
        <v>74</v>
      </c>
      <c r="Z74" t="s">
        <v>74</v>
      </c>
      <c r="AA74" t="s">
        <v>1149</v>
      </c>
      <c r="AB74" t="s">
        <v>1150</v>
      </c>
      <c r="AC74" t="s">
        <v>74</v>
      </c>
      <c r="AD74" t="s">
        <v>74</v>
      </c>
      <c r="AE74" t="s">
        <v>74</v>
      </c>
      <c r="AF74" t="s">
        <v>74</v>
      </c>
      <c r="AG74">
        <v>7</v>
      </c>
      <c r="AH74">
        <v>0</v>
      </c>
      <c r="AI74">
        <v>0</v>
      </c>
      <c r="AJ74">
        <v>0</v>
      </c>
      <c r="AK74">
        <v>2</v>
      </c>
      <c r="AL74" t="s">
        <v>1151</v>
      </c>
      <c r="AM74" t="s">
        <v>1152</v>
      </c>
      <c r="AN74" t="s">
        <v>1153</v>
      </c>
      <c r="AO74" t="s">
        <v>74</v>
      </c>
      <c r="AP74" t="s">
        <v>74</v>
      </c>
      <c r="AQ74" t="s">
        <v>1154</v>
      </c>
      <c r="AR74" t="s">
        <v>74</v>
      </c>
      <c r="AS74" t="s">
        <v>74</v>
      </c>
      <c r="AT74" t="s">
        <v>74</v>
      </c>
      <c r="AU74">
        <v>2001</v>
      </c>
      <c r="AV74" t="s">
        <v>74</v>
      </c>
      <c r="AW74" t="s">
        <v>74</v>
      </c>
      <c r="AX74" t="s">
        <v>74</v>
      </c>
      <c r="AY74" t="s">
        <v>74</v>
      </c>
      <c r="AZ74" t="s">
        <v>74</v>
      </c>
      <c r="BA74" t="s">
        <v>74</v>
      </c>
      <c r="BB74">
        <v>965</v>
      </c>
      <c r="BC74">
        <v>968</v>
      </c>
      <c r="BD74" t="s">
        <v>74</v>
      </c>
      <c r="BE74" t="s">
        <v>74</v>
      </c>
      <c r="BF74" t="s">
        <v>74</v>
      </c>
      <c r="BG74" t="s">
        <v>74</v>
      </c>
      <c r="BH74" t="s">
        <v>74</v>
      </c>
      <c r="BI74">
        <v>4</v>
      </c>
      <c r="BJ74" t="s">
        <v>1155</v>
      </c>
      <c r="BK74" t="s">
        <v>229</v>
      </c>
      <c r="BL74" t="s">
        <v>1156</v>
      </c>
      <c r="BM74" t="s">
        <v>1157</v>
      </c>
      <c r="BN74" t="s">
        <v>74</v>
      </c>
      <c r="BO74" t="s">
        <v>74</v>
      </c>
      <c r="BP74" t="s">
        <v>74</v>
      </c>
      <c r="BQ74" t="s">
        <v>74</v>
      </c>
      <c r="BR74" t="s">
        <v>97</v>
      </c>
      <c r="BS74" t="s">
        <v>1158</v>
      </c>
      <c r="BT74" t="str">
        <f>HYPERLINK("https%3A%2F%2Fwww.webofscience.com%2Fwos%2Fwoscc%2Ffull-record%2FWOS:000172097500213","View Full Record in Web of Science")</f>
        <v>View Full Record in Web of Science</v>
      </c>
    </row>
    <row r="75" spans="1:72" x14ac:dyDescent="0.15">
      <c r="A75" t="s">
        <v>1106</v>
      </c>
      <c r="B75" t="s">
        <v>1159</v>
      </c>
      <c r="C75" t="s">
        <v>74</v>
      </c>
      <c r="D75" t="s">
        <v>1160</v>
      </c>
      <c r="E75" t="s">
        <v>74</v>
      </c>
      <c r="F75" t="s">
        <v>1159</v>
      </c>
      <c r="G75" t="s">
        <v>74</v>
      </c>
      <c r="H75" t="s">
        <v>74</v>
      </c>
      <c r="I75" t="s">
        <v>1161</v>
      </c>
      <c r="J75" t="s">
        <v>1162</v>
      </c>
      <c r="K75" t="s">
        <v>1111</v>
      </c>
      <c r="L75" t="s">
        <v>74</v>
      </c>
      <c r="M75" t="s">
        <v>77</v>
      </c>
      <c r="N75" t="s">
        <v>576</v>
      </c>
      <c r="O75" t="s">
        <v>1163</v>
      </c>
      <c r="P75" t="s">
        <v>1164</v>
      </c>
      <c r="Q75" t="s">
        <v>1165</v>
      </c>
      <c r="R75" t="s">
        <v>74</v>
      </c>
      <c r="S75" t="s">
        <v>74</v>
      </c>
      <c r="T75" t="s">
        <v>74</v>
      </c>
      <c r="U75" t="s">
        <v>1166</v>
      </c>
      <c r="V75" t="s">
        <v>1167</v>
      </c>
      <c r="W75" t="s">
        <v>1168</v>
      </c>
      <c r="X75" t="s">
        <v>1169</v>
      </c>
      <c r="Y75" t="s">
        <v>1170</v>
      </c>
      <c r="Z75" t="s">
        <v>74</v>
      </c>
      <c r="AA75" t="s">
        <v>74</v>
      </c>
      <c r="AB75" t="s">
        <v>1171</v>
      </c>
      <c r="AC75" t="s">
        <v>74</v>
      </c>
      <c r="AD75" t="s">
        <v>74</v>
      </c>
      <c r="AE75" t="s">
        <v>74</v>
      </c>
      <c r="AF75" t="s">
        <v>74</v>
      </c>
      <c r="AG75">
        <v>9</v>
      </c>
      <c r="AH75">
        <v>1</v>
      </c>
      <c r="AI75">
        <v>1</v>
      </c>
      <c r="AJ75">
        <v>0</v>
      </c>
      <c r="AK75">
        <v>0</v>
      </c>
      <c r="AL75" t="s">
        <v>1120</v>
      </c>
      <c r="AM75" t="s">
        <v>1121</v>
      </c>
      <c r="AN75" t="s">
        <v>1122</v>
      </c>
      <c r="AO75" t="s">
        <v>1123</v>
      </c>
      <c r="AP75" t="s">
        <v>74</v>
      </c>
      <c r="AQ75" t="s">
        <v>74</v>
      </c>
      <c r="AR75" t="s">
        <v>1124</v>
      </c>
      <c r="AS75" t="s">
        <v>74</v>
      </c>
      <c r="AT75" t="s">
        <v>74</v>
      </c>
      <c r="AU75">
        <v>2001</v>
      </c>
      <c r="AV75">
        <v>27</v>
      </c>
      <c r="AW75">
        <v>8</v>
      </c>
      <c r="AX75" t="s">
        <v>74</v>
      </c>
      <c r="AY75" t="s">
        <v>74</v>
      </c>
      <c r="AZ75" t="s">
        <v>74</v>
      </c>
      <c r="BA75" t="s">
        <v>74</v>
      </c>
      <c r="BB75">
        <v>1373</v>
      </c>
      <c r="BC75">
        <v>1376</v>
      </c>
      <c r="BD75" t="s">
        <v>74</v>
      </c>
      <c r="BE75" t="s">
        <v>1172</v>
      </c>
      <c r="BF75" t="str">
        <f>HYPERLINK("http://dx.doi.org/10.1016/S0273-1177(01)00028-X","http://dx.doi.org/10.1016/S0273-1177(01)00028-X")</f>
        <v>http://dx.doi.org/10.1016/S0273-1177(01)00028-X</v>
      </c>
      <c r="BG75" t="s">
        <v>74</v>
      </c>
      <c r="BH75" t="s">
        <v>74</v>
      </c>
      <c r="BI75">
        <v>4</v>
      </c>
      <c r="BJ75" t="s">
        <v>1126</v>
      </c>
      <c r="BK75" t="s">
        <v>596</v>
      </c>
      <c r="BL75" t="s">
        <v>1127</v>
      </c>
      <c r="BM75" t="s">
        <v>1173</v>
      </c>
      <c r="BN75" t="s">
        <v>74</v>
      </c>
      <c r="BO75" t="s">
        <v>74</v>
      </c>
      <c r="BP75" t="s">
        <v>74</v>
      </c>
      <c r="BQ75" t="s">
        <v>74</v>
      </c>
      <c r="BR75" t="s">
        <v>97</v>
      </c>
      <c r="BS75" t="s">
        <v>1174</v>
      </c>
      <c r="BT75" t="str">
        <f>HYPERLINK("https%3A%2F%2Fwww.webofscience.com%2Fwos%2Fwoscc%2Ffull-record%2FWOS:000171627800002","View Full Record in Web of Science")</f>
        <v>View Full Record in Web of Science</v>
      </c>
    </row>
    <row r="76" spans="1:72" x14ac:dyDescent="0.15">
      <c r="A76" t="s">
        <v>1106</v>
      </c>
      <c r="B76" t="s">
        <v>1175</v>
      </c>
      <c r="C76" t="s">
        <v>74</v>
      </c>
      <c r="D76" t="s">
        <v>1160</v>
      </c>
      <c r="E76" t="s">
        <v>74</v>
      </c>
      <c r="F76" t="s">
        <v>1175</v>
      </c>
      <c r="G76" t="s">
        <v>74</v>
      </c>
      <c r="H76" t="s">
        <v>74</v>
      </c>
      <c r="I76" t="s">
        <v>1176</v>
      </c>
      <c r="J76" t="s">
        <v>1162</v>
      </c>
      <c r="K76" t="s">
        <v>1111</v>
      </c>
      <c r="L76" t="s">
        <v>74</v>
      </c>
      <c r="M76" t="s">
        <v>77</v>
      </c>
      <c r="N76" t="s">
        <v>576</v>
      </c>
      <c r="O76" t="s">
        <v>1163</v>
      </c>
      <c r="P76" t="s">
        <v>1164</v>
      </c>
      <c r="Q76" t="s">
        <v>1165</v>
      </c>
      <c r="R76" t="s">
        <v>74</v>
      </c>
      <c r="S76" t="s">
        <v>74</v>
      </c>
      <c r="T76" t="s">
        <v>74</v>
      </c>
      <c r="U76" t="s">
        <v>1177</v>
      </c>
      <c r="V76" t="s">
        <v>1178</v>
      </c>
      <c r="W76" t="s">
        <v>1179</v>
      </c>
      <c r="X76" t="s">
        <v>1180</v>
      </c>
      <c r="Y76" t="s">
        <v>1181</v>
      </c>
      <c r="Z76" t="s">
        <v>74</v>
      </c>
      <c r="AA76" t="s">
        <v>1182</v>
      </c>
      <c r="AB76" t="s">
        <v>1183</v>
      </c>
      <c r="AC76" t="s">
        <v>74</v>
      </c>
      <c r="AD76" t="s">
        <v>74</v>
      </c>
      <c r="AE76" t="s">
        <v>74</v>
      </c>
      <c r="AF76" t="s">
        <v>74</v>
      </c>
      <c r="AG76">
        <v>6</v>
      </c>
      <c r="AH76">
        <v>1</v>
      </c>
      <c r="AI76">
        <v>1</v>
      </c>
      <c r="AJ76">
        <v>0</v>
      </c>
      <c r="AK76">
        <v>1</v>
      </c>
      <c r="AL76" t="s">
        <v>1120</v>
      </c>
      <c r="AM76" t="s">
        <v>1121</v>
      </c>
      <c r="AN76" t="s">
        <v>1122</v>
      </c>
      <c r="AO76" t="s">
        <v>1123</v>
      </c>
      <c r="AP76" t="s">
        <v>74</v>
      </c>
      <c r="AQ76" t="s">
        <v>74</v>
      </c>
      <c r="AR76" t="s">
        <v>1124</v>
      </c>
      <c r="AS76" t="s">
        <v>74</v>
      </c>
      <c r="AT76" t="s">
        <v>74</v>
      </c>
      <c r="AU76">
        <v>2001</v>
      </c>
      <c r="AV76">
        <v>27</v>
      </c>
      <c r="AW76">
        <v>8</v>
      </c>
      <c r="AX76" t="s">
        <v>74</v>
      </c>
      <c r="AY76" t="s">
        <v>74</v>
      </c>
      <c r="AZ76" t="s">
        <v>74</v>
      </c>
      <c r="BA76" t="s">
        <v>74</v>
      </c>
      <c r="BB76">
        <v>1377</v>
      </c>
      <c r="BC76">
        <v>1380</v>
      </c>
      <c r="BD76" t="s">
        <v>74</v>
      </c>
      <c r="BE76" t="s">
        <v>1184</v>
      </c>
      <c r="BF76" t="str">
        <f>HYPERLINK("http://dx.doi.org/10.1016/S0273-1177(01)00029-1","http://dx.doi.org/10.1016/S0273-1177(01)00029-1")</f>
        <v>http://dx.doi.org/10.1016/S0273-1177(01)00029-1</v>
      </c>
      <c r="BG76" t="s">
        <v>74</v>
      </c>
      <c r="BH76" t="s">
        <v>74</v>
      </c>
      <c r="BI76">
        <v>4</v>
      </c>
      <c r="BJ76" t="s">
        <v>1126</v>
      </c>
      <c r="BK76" t="s">
        <v>596</v>
      </c>
      <c r="BL76" t="s">
        <v>1127</v>
      </c>
      <c r="BM76" t="s">
        <v>1173</v>
      </c>
      <c r="BN76" t="s">
        <v>74</v>
      </c>
      <c r="BO76" t="s">
        <v>74</v>
      </c>
      <c r="BP76" t="s">
        <v>74</v>
      </c>
      <c r="BQ76" t="s">
        <v>74</v>
      </c>
      <c r="BR76" t="s">
        <v>97</v>
      </c>
      <c r="BS76" t="s">
        <v>1185</v>
      </c>
      <c r="BT76" t="str">
        <f>HYPERLINK("https%3A%2F%2Fwww.webofscience.com%2Fwos%2Fwoscc%2Ffull-record%2FWOS:000171627800003","View Full Record in Web of Science")</f>
        <v>View Full Record in Web of Science</v>
      </c>
    </row>
    <row r="77" spans="1:72" x14ac:dyDescent="0.15">
      <c r="A77" t="s">
        <v>1106</v>
      </c>
      <c r="B77" t="s">
        <v>1186</v>
      </c>
      <c r="C77" t="s">
        <v>74</v>
      </c>
      <c r="D77" t="s">
        <v>1160</v>
      </c>
      <c r="E77" t="s">
        <v>74</v>
      </c>
      <c r="F77" t="s">
        <v>1186</v>
      </c>
      <c r="G77" t="s">
        <v>74</v>
      </c>
      <c r="H77" t="s">
        <v>74</v>
      </c>
      <c r="I77" t="s">
        <v>1187</v>
      </c>
      <c r="J77" t="s">
        <v>1162</v>
      </c>
      <c r="K77" t="s">
        <v>1111</v>
      </c>
      <c r="L77" t="s">
        <v>74</v>
      </c>
      <c r="M77" t="s">
        <v>77</v>
      </c>
      <c r="N77" t="s">
        <v>576</v>
      </c>
      <c r="O77" t="s">
        <v>1163</v>
      </c>
      <c r="P77" t="s">
        <v>1164</v>
      </c>
      <c r="Q77" t="s">
        <v>1165</v>
      </c>
      <c r="R77" t="s">
        <v>74</v>
      </c>
      <c r="S77" t="s">
        <v>74</v>
      </c>
      <c r="T77" t="s">
        <v>74</v>
      </c>
      <c r="U77" t="s">
        <v>1188</v>
      </c>
      <c r="V77" t="s">
        <v>1189</v>
      </c>
      <c r="W77" t="s">
        <v>1190</v>
      </c>
      <c r="X77" t="s">
        <v>1191</v>
      </c>
      <c r="Y77" t="s">
        <v>1192</v>
      </c>
      <c r="Z77" t="s">
        <v>74</v>
      </c>
      <c r="AA77" t="s">
        <v>1182</v>
      </c>
      <c r="AB77" t="s">
        <v>1183</v>
      </c>
      <c r="AC77" t="s">
        <v>74</v>
      </c>
      <c r="AD77" t="s">
        <v>74</v>
      </c>
      <c r="AE77" t="s">
        <v>74</v>
      </c>
      <c r="AF77" t="s">
        <v>74</v>
      </c>
      <c r="AG77">
        <v>4</v>
      </c>
      <c r="AH77">
        <v>1</v>
      </c>
      <c r="AI77">
        <v>1</v>
      </c>
      <c r="AJ77">
        <v>0</v>
      </c>
      <c r="AK77">
        <v>3</v>
      </c>
      <c r="AL77" t="s">
        <v>1120</v>
      </c>
      <c r="AM77" t="s">
        <v>1121</v>
      </c>
      <c r="AN77" t="s">
        <v>1122</v>
      </c>
      <c r="AO77" t="s">
        <v>1123</v>
      </c>
      <c r="AP77" t="s">
        <v>74</v>
      </c>
      <c r="AQ77" t="s">
        <v>74</v>
      </c>
      <c r="AR77" t="s">
        <v>1124</v>
      </c>
      <c r="AS77" t="s">
        <v>74</v>
      </c>
      <c r="AT77" t="s">
        <v>74</v>
      </c>
      <c r="AU77">
        <v>2001</v>
      </c>
      <c r="AV77">
        <v>27</v>
      </c>
      <c r="AW77">
        <v>8</v>
      </c>
      <c r="AX77" t="s">
        <v>74</v>
      </c>
      <c r="AY77" t="s">
        <v>74</v>
      </c>
      <c r="AZ77" t="s">
        <v>74</v>
      </c>
      <c r="BA77" t="s">
        <v>74</v>
      </c>
      <c r="BB77">
        <v>1399</v>
      </c>
      <c r="BC77">
        <v>1402</v>
      </c>
      <c r="BD77" t="s">
        <v>74</v>
      </c>
      <c r="BE77" t="s">
        <v>1193</v>
      </c>
      <c r="BF77" t="str">
        <f>HYPERLINK("http://dx.doi.org/10.1016/S0273-1177(01)00037-0","http://dx.doi.org/10.1016/S0273-1177(01)00037-0")</f>
        <v>http://dx.doi.org/10.1016/S0273-1177(01)00037-0</v>
      </c>
      <c r="BG77" t="s">
        <v>74</v>
      </c>
      <c r="BH77" t="s">
        <v>74</v>
      </c>
      <c r="BI77">
        <v>4</v>
      </c>
      <c r="BJ77" t="s">
        <v>1126</v>
      </c>
      <c r="BK77" t="s">
        <v>596</v>
      </c>
      <c r="BL77" t="s">
        <v>1127</v>
      </c>
      <c r="BM77" t="s">
        <v>1173</v>
      </c>
      <c r="BN77" t="s">
        <v>74</v>
      </c>
      <c r="BO77" t="s">
        <v>74</v>
      </c>
      <c r="BP77" t="s">
        <v>74</v>
      </c>
      <c r="BQ77" t="s">
        <v>74</v>
      </c>
      <c r="BR77" t="s">
        <v>97</v>
      </c>
      <c r="BS77" t="s">
        <v>1194</v>
      </c>
      <c r="BT77" t="str">
        <f>HYPERLINK("https%3A%2F%2Fwww.webofscience.com%2Fwos%2Fwoscc%2Ffull-record%2FWOS:000171627800008","View Full Record in Web of Science")</f>
        <v>View Full Record in Web of Science</v>
      </c>
    </row>
    <row r="78" spans="1:72" x14ac:dyDescent="0.15">
      <c r="A78" t="s">
        <v>72</v>
      </c>
      <c r="B78" t="s">
        <v>1195</v>
      </c>
      <c r="C78" t="s">
        <v>74</v>
      </c>
      <c r="D78" t="s">
        <v>74</v>
      </c>
      <c r="E78" t="s">
        <v>74</v>
      </c>
      <c r="F78" t="s">
        <v>1195</v>
      </c>
      <c r="G78" t="s">
        <v>74</v>
      </c>
      <c r="H78" t="s">
        <v>1196</v>
      </c>
      <c r="I78" t="s">
        <v>1197</v>
      </c>
      <c r="J78" t="s">
        <v>1198</v>
      </c>
      <c r="K78" t="s">
        <v>74</v>
      </c>
      <c r="L78" t="s">
        <v>74</v>
      </c>
      <c r="M78" t="s">
        <v>77</v>
      </c>
      <c r="N78" t="s">
        <v>78</v>
      </c>
      <c r="O78" t="s">
        <v>74</v>
      </c>
      <c r="P78" t="s">
        <v>74</v>
      </c>
      <c r="Q78" t="s">
        <v>74</v>
      </c>
      <c r="R78" t="s">
        <v>74</v>
      </c>
      <c r="S78" t="s">
        <v>74</v>
      </c>
      <c r="T78" t="s">
        <v>1199</v>
      </c>
      <c r="U78" t="s">
        <v>1200</v>
      </c>
      <c r="V78" t="s">
        <v>1201</v>
      </c>
      <c r="W78" t="s">
        <v>1202</v>
      </c>
      <c r="X78" t="s">
        <v>1203</v>
      </c>
      <c r="Y78" t="s">
        <v>1204</v>
      </c>
      <c r="Z78" t="s">
        <v>74</v>
      </c>
      <c r="AA78" t="s">
        <v>1205</v>
      </c>
      <c r="AB78" t="s">
        <v>1206</v>
      </c>
      <c r="AC78" t="s">
        <v>74</v>
      </c>
      <c r="AD78" t="s">
        <v>74</v>
      </c>
      <c r="AE78" t="s">
        <v>74</v>
      </c>
      <c r="AF78" t="s">
        <v>74</v>
      </c>
      <c r="AG78">
        <v>43</v>
      </c>
      <c r="AH78">
        <v>208</v>
      </c>
      <c r="AI78">
        <v>238</v>
      </c>
      <c r="AJ78">
        <v>0</v>
      </c>
      <c r="AK78">
        <v>46</v>
      </c>
      <c r="AL78" t="s">
        <v>1207</v>
      </c>
      <c r="AM78" t="s">
        <v>1208</v>
      </c>
      <c r="AN78" t="s">
        <v>1209</v>
      </c>
      <c r="AO78" t="s">
        <v>1210</v>
      </c>
      <c r="AP78" t="s">
        <v>1211</v>
      </c>
      <c r="AQ78" t="s">
        <v>74</v>
      </c>
      <c r="AR78" t="s">
        <v>1198</v>
      </c>
      <c r="AS78" t="s">
        <v>1212</v>
      </c>
      <c r="AT78" t="s">
        <v>91</v>
      </c>
      <c r="AU78">
        <v>2001</v>
      </c>
      <c r="AV78">
        <v>11</v>
      </c>
      <c r="AW78">
        <v>1</v>
      </c>
      <c r="AX78" t="s">
        <v>74</v>
      </c>
      <c r="AY78" t="s">
        <v>74</v>
      </c>
      <c r="AZ78" t="s">
        <v>74</v>
      </c>
      <c r="BA78" t="s">
        <v>74</v>
      </c>
      <c r="BB78">
        <v>1</v>
      </c>
      <c r="BC78">
        <v>9</v>
      </c>
      <c r="BD78" t="s">
        <v>74</v>
      </c>
      <c r="BE78" t="s">
        <v>1213</v>
      </c>
      <c r="BF78" t="str">
        <f>HYPERLINK("http://dx.doi.org/10.1191/095968301673881493","http://dx.doi.org/10.1191/095968301673881493")</f>
        <v>http://dx.doi.org/10.1191/095968301673881493</v>
      </c>
      <c r="BG78" t="s">
        <v>74</v>
      </c>
      <c r="BH78" t="s">
        <v>74</v>
      </c>
      <c r="BI78">
        <v>9</v>
      </c>
      <c r="BJ78" t="s">
        <v>1214</v>
      </c>
      <c r="BK78" t="s">
        <v>94</v>
      </c>
      <c r="BL78" t="s">
        <v>1215</v>
      </c>
      <c r="BM78" t="s">
        <v>1216</v>
      </c>
      <c r="BN78" t="s">
        <v>74</v>
      </c>
      <c r="BO78" t="s">
        <v>74</v>
      </c>
      <c r="BP78" t="s">
        <v>74</v>
      </c>
      <c r="BQ78" t="s">
        <v>74</v>
      </c>
      <c r="BR78" t="s">
        <v>97</v>
      </c>
      <c r="BS78" t="s">
        <v>1217</v>
      </c>
      <c r="BT78" t="str">
        <f>HYPERLINK("https%3A%2F%2Fwww.webofscience.com%2Fwos%2Fwoscc%2Ffull-record%2FWOS:000166400800001","View Full Record in Web of Science")</f>
        <v>View Full Record in Web of Science</v>
      </c>
    </row>
    <row r="79" spans="1:72" x14ac:dyDescent="0.15">
      <c r="A79" t="s">
        <v>72</v>
      </c>
      <c r="B79" t="s">
        <v>1218</v>
      </c>
      <c r="C79" t="s">
        <v>74</v>
      </c>
      <c r="D79" t="s">
        <v>74</v>
      </c>
      <c r="E79" t="s">
        <v>74</v>
      </c>
      <c r="F79" t="s">
        <v>1218</v>
      </c>
      <c r="G79" t="s">
        <v>74</v>
      </c>
      <c r="H79" t="s">
        <v>74</v>
      </c>
      <c r="I79" t="s">
        <v>1219</v>
      </c>
      <c r="J79" t="s">
        <v>1198</v>
      </c>
      <c r="K79" t="s">
        <v>74</v>
      </c>
      <c r="L79" t="s">
        <v>74</v>
      </c>
      <c r="M79" t="s">
        <v>77</v>
      </c>
      <c r="N79" t="s">
        <v>78</v>
      </c>
      <c r="O79" t="s">
        <v>74</v>
      </c>
      <c r="P79" t="s">
        <v>74</v>
      </c>
      <c r="Q79" t="s">
        <v>74</v>
      </c>
      <c r="R79" t="s">
        <v>74</v>
      </c>
      <c r="S79" t="s">
        <v>74</v>
      </c>
      <c r="T79" t="s">
        <v>1220</v>
      </c>
      <c r="U79" t="s">
        <v>1221</v>
      </c>
      <c r="V79" t="s">
        <v>1222</v>
      </c>
      <c r="W79" t="s">
        <v>1223</v>
      </c>
      <c r="X79" t="s">
        <v>1224</v>
      </c>
      <c r="Y79" t="s">
        <v>1225</v>
      </c>
      <c r="Z79" t="s">
        <v>74</v>
      </c>
      <c r="AA79" t="s">
        <v>1226</v>
      </c>
      <c r="AB79" t="s">
        <v>1227</v>
      </c>
      <c r="AC79" t="s">
        <v>74</v>
      </c>
      <c r="AD79" t="s">
        <v>74</v>
      </c>
      <c r="AE79" t="s">
        <v>74</v>
      </c>
      <c r="AF79" t="s">
        <v>74</v>
      </c>
      <c r="AG79">
        <v>25</v>
      </c>
      <c r="AH79">
        <v>27</v>
      </c>
      <c r="AI79">
        <v>31</v>
      </c>
      <c r="AJ79">
        <v>1</v>
      </c>
      <c r="AK79">
        <v>10</v>
      </c>
      <c r="AL79" t="s">
        <v>1228</v>
      </c>
      <c r="AM79" t="s">
        <v>1208</v>
      </c>
      <c r="AN79" t="s">
        <v>1229</v>
      </c>
      <c r="AO79" t="s">
        <v>1210</v>
      </c>
      <c r="AP79" t="s">
        <v>74</v>
      </c>
      <c r="AQ79" t="s">
        <v>74</v>
      </c>
      <c r="AR79" t="s">
        <v>1198</v>
      </c>
      <c r="AS79" t="s">
        <v>1212</v>
      </c>
      <c r="AT79" t="s">
        <v>91</v>
      </c>
      <c r="AU79">
        <v>2001</v>
      </c>
      <c r="AV79">
        <v>11</v>
      </c>
      <c r="AW79">
        <v>1</v>
      </c>
      <c r="AX79" t="s">
        <v>74</v>
      </c>
      <c r="AY79" t="s">
        <v>74</v>
      </c>
      <c r="AZ79" t="s">
        <v>74</v>
      </c>
      <c r="BA79" t="s">
        <v>74</v>
      </c>
      <c r="BB79">
        <v>117</v>
      </c>
      <c r="BC79">
        <v>120</v>
      </c>
      <c r="BD79" t="s">
        <v>74</v>
      </c>
      <c r="BE79" t="s">
        <v>1230</v>
      </c>
      <c r="BF79" t="str">
        <f>HYPERLINK("http://dx.doi.org/10.1191/095968301677143452","http://dx.doi.org/10.1191/095968301677143452")</f>
        <v>http://dx.doi.org/10.1191/095968301677143452</v>
      </c>
      <c r="BG79" t="s">
        <v>74</v>
      </c>
      <c r="BH79" t="s">
        <v>74</v>
      </c>
      <c r="BI79">
        <v>4</v>
      </c>
      <c r="BJ79" t="s">
        <v>1214</v>
      </c>
      <c r="BK79" t="s">
        <v>94</v>
      </c>
      <c r="BL79" t="s">
        <v>1215</v>
      </c>
      <c r="BM79" t="s">
        <v>1216</v>
      </c>
      <c r="BN79" t="s">
        <v>74</v>
      </c>
      <c r="BO79" t="s">
        <v>74</v>
      </c>
      <c r="BP79" t="s">
        <v>74</v>
      </c>
      <c r="BQ79" t="s">
        <v>74</v>
      </c>
      <c r="BR79" t="s">
        <v>97</v>
      </c>
      <c r="BS79" t="s">
        <v>1231</v>
      </c>
      <c r="BT79" t="str">
        <f>HYPERLINK("https%3A%2F%2Fwww.webofscience.com%2Fwos%2Fwoscc%2Ffull-record%2FWOS:000166400800011","View Full Record in Web of Science")</f>
        <v>View Full Record in Web of Science</v>
      </c>
    </row>
    <row r="80" spans="1:72" x14ac:dyDescent="0.15">
      <c r="A80" t="s">
        <v>72</v>
      </c>
      <c r="B80" t="s">
        <v>1232</v>
      </c>
      <c r="C80" t="s">
        <v>74</v>
      </c>
      <c r="D80" t="s">
        <v>74</v>
      </c>
      <c r="E80" t="s">
        <v>74</v>
      </c>
      <c r="F80" t="s">
        <v>1232</v>
      </c>
      <c r="G80" t="s">
        <v>74</v>
      </c>
      <c r="H80" t="s">
        <v>74</v>
      </c>
      <c r="I80" t="s">
        <v>1233</v>
      </c>
      <c r="J80" t="s">
        <v>1198</v>
      </c>
      <c r="K80" t="s">
        <v>74</v>
      </c>
      <c r="L80" t="s">
        <v>74</v>
      </c>
      <c r="M80" t="s">
        <v>77</v>
      </c>
      <c r="N80" t="s">
        <v>78</v>
      </c>
      <c r="O80" t="s">
        <v>74</v>
      </c>
      <c r="P80" t="s">
        <v>74</v>
      </c>
      <c r="Q80" t="s">
        <v>74</v>
      </c>
      <c r="R80" t="s">
        <v>74</v>
      </c>
      <c r="S80" t="s">
        <v>74</v>
      </c>
      <c r="T80" t="s">
        <v>1234</v>
      </c>
      <c r="U80" t="s">
        <v>1235</v>
      </c>
      <c r="V80" t="s">
        <v>1236</v>
      </c>
      <c r="W80" t="s">
        <v>1237</v>
      </c>
      <c r="X80" t="s">
        <v>74</v>
      </c>
      <c r="Y80" t="s">
        <v>1238</v>
      </c>
      <c r="Z80" t="s">
        <v>74</v>
      </c>
      <c r="AA80" t="s">
        <v>1239</v>
      </c>
      <c r="AB80" t="s">
        <v>74</v>
      </c>
      <c r="AC80" t="s">
        <v>74</v>
      </c>
      <c r="AD80" t="s">
        <v>74</v>
      </c>
      <c r="AE80" t="s">
        <v>74</v>
      </c>
      <c r="AF80" t="s">
        <v>74</v>
      </c>
      <c r="AG80">
        <v>41</v>
      </c>
      <c r="AH80">
        <v>23</v>
      </c>
      <c r="AI80">
        <v>30</v>
      </c>
      <c r="AJ80">
        <v>0</v>
      </c>
      <c r="AK80">
        <v>7</v>
      </c>
      <c r="AL80" t="s">
        <v>1228</v>
      </c>
      <c r="AM80" t="s">
        <v>1208</v>
      </c>
      <c r="AN80" t="s">
        <v>1229</v>
      </c>
      <c r="AO80" t="s">
        <v>1210</v>
      </c>
      <c r="AP80" t="s">
        <v>74</v>
      </c>
      <c r="AQ80" t="s">
        <v>74</v>
      </c>
      <c r="AR80" t="s">
        <v>1198</v>
      </c>
      <c r="AS80" t="s">
        <v>1212</v>
      </c>
      <c r="AT80" t="s">
        <v>74</v>
      </c>
      <c r="AU80">
        <v>2001</v>
      </c>
      <c r="AV80">
        <v>11</v>
      </c>
      <c r="AW80">
        <v>4</v>
      </c>
      <c r="AX80" t="s">
        <v>74</v>
      </c>
      <c r="AY80" t="s">
        <v>74</v>
      </c>
      <c r="AZ80" t="s">
        <v>74</v>
      </c>
      <c r="BA80" t="s">
        <v>74</v>
      </c>
      <c r="BB80">
        <v>455</v>
      </c>
      <c r="BC80">
        <v>466</v>
      </c>
      <c r="BD80" t="s">
        <v>74</v>
      </c>
      <c r="BE80" t="s">
        <v>1240</v>
      </c>
      <c r="BF80" t="str">
        <f>HYPERLINK("http://dx.doi.org/10.1191/095968301678302896","http://dx.doi.org/10.1191/095968301678302896")</f>
        <v>http://dx.doi.org/10.1191/095968301678302896</v>
      </c>
      <c r="BG80" t="s">
        <v>74</v>
      </c>
      <c r="BH80" t="s">
        <v>74</v>
      </c>
      <c r="BI80">
        <v>12</v>
      </c>
      <c r="BJ80" t="s">
        <v>1214</v>
      </c>
      <c r="BK80" t="s">
        <v>94</v>
      </c>
      <c r="BL80" t="s">
        <v>1215</v>
      </c>
      <c r="BM80" t="s">
        <v>1241</v>
      </c>
      <c r="BN80" t="s">
        <v>74</v>
      </c>
      <c r="BO80" t="s">
        <v>74</v>
      </c>
      <c r="BP80" t="s">
        <v>74</v>
      </c>
      <c r="BQ80" t="s">
        <v>74</v>
      </c>
      <c r="BR80" t="s">
        <v>97</v>
      </c>
      <c r="BS80" t="s">
        <v>1242</v>
      </c>
      <c r="BT80" t="str">
        <f>HYPERLINK("https%3A%2F%2Fwww.webofscience.com%2Fwos%2Fwoscc%2Ffull-record%2FWOS:000169351000008","View Full Record in Web of Science")</f>
        <v>View Full Record in Web of Science</v>
      </c>
    </row>
    <row r="81" spans="1:72" x14ac:dyDescent="0.15">
      <c r="A81" t="s">
        <v>72</v>
      </c>
      <c r="B81" t="s">
        <v>1243</v>
      </c>
      <c r="C81" t="s">
        <v>74</v>
      </c>
      <c r="D81" t="s">
        <v>74</v>
      </c>
      <c r="E81" t="s">
        <v>74</v>
      </c>
      <c r="F81" t="s">
        <v>1243</v>
      </c>
      <c r="G81" t="s">
        <v>74</v>
      </c>
      <c r="H81" t="s">
        <v>74</v>
      </c>
      <c r="I81" t="s">
        <v>1244</v>
      </c>
      <c r="J81" t="s">
        <v>1245</v>
      </c>
      <c r="K81" t="s">
        <v>74</v>
      </c>
      <c r="L81" t="s">
        <v>74</v>
      </c>
      <c r="M81" t="s">
        <v>77</v>
      </c>
      <c r="N81" t="s">
        <v>236</v>
      </c>
      <c r="O81" t="s">
        <v>74</v>
      </c>
      <c r="P81" t="s">
        <v>74</v>
      </c>
      <c r="Q81" t="s">
        <v>74</v>
      </c>
      <c r="R81" t="s">
        <v>74</v>
      </c>
      <c r="S81" t="s">
        <v>74</v>
      </c>
      <c r="T81" t="s">
        <v>1246</v>
      </c>
      <c r="U81" t="s">
        <v>1247</v>
      </c>
      <c r="V81" t="s">
        <v>1248</v>
      </c>
      <c r="W81" t="s">
        <v>1249</v>
      </c>
      <c r="X81" t="s">
        <v>1250</v>
      </c>
      <c r="Y81" t="s">
        <v>1251</v>
      </c>
      <c r="Z81" t="s">
        <v>1252</v>
      </c>
      <c r="AA81" t="s">
        <v>74</v>
      </c>
      <c r="AB81" t="s">
        <v>74</v>
      </c>
      <c r="AC81" t="s">
        <v>74</v>
      </c>
      <c r="AD81" t="s">
        <v>74</v>
      </c>
      <c r="AE81" t="s">
        <v>74</v>
      </c>
      <c r="AF81" t="s">
        <v>74</v>
      </c>
      <c r="AG81">
        <v>106</v>
      </c>
      <c r="AH81">
        <v>52</v>
      </c>
      <c r="AI81">
        <v>56</v>
      </c>
      <c r="AJ81">
        <v>0</v>
      </c>
      <c r="AK81">
        <v>23</v>
      </c>
      <c r="AL81" t="s">
        <v>906</v>
      </c>
      <c r="AM81" t="s">
        <v>738</v>
      </c>
      <c r="AN81" t="s">
        <v>1253</v>
      </c>
      <c r="AO81" t="s">
        <v>1254</v>
      </c>
      <c r="AP81" t="s">
        <v>1255</v>
      </c>
      <c r="AQ81" t="s">
        <v>74</v>
      </c>
      <c r="AR81" t="s">
        <v>1245</v>
      </c>
      <c r="AS81" t="s">
        <v>1256</v>
      </c>
      <c r="AT81" t="s">
        <v>74</v>
      </c>
      <c r="AU81">
        <v>2001</v>
      </c>
      <c r="AV81">
        <v>453</v>
      </c>
      <c r="AW81" t="s">
        <v>1257</v>
      </c>
      <c r="AX81" t="s">
        <v>74</v>
      </c>
      <c r="AY81" t="s">
        <v>74</v>
      </c>
      <c r="AZ81" t="s">
        <v>74</v>
      </c>
      <c r="BA81" t="s">
        <v>74</v>
      </c>
      <c r="BB81">
        <v>9</v>
      </c>
      <c r="BC81">
        <v>24</v>
      </c>
      <c r="BD81" t="s">
        <v>74</v>
      </c>
      <c r="BE81" t="s">
        <v>1258</v>
      </c>
      <c r="BF81" t="str">
        <f>HYPERLINK("http://dx.doi.org/10.1023/A:1013195329066","http://dx.doi.org/10.1023/A:1013195329066")</f>
        <v>http://dx.doi.org/10.1023/A:1013195329066</v>
      </c>
      <c r="BG81" t="s">
        <v>74</v>
      </c>
      <c r="BH81" t="s">
        <v>74</v>
      </c>
      <c r="BI81">
        <v>16</v>
      </c>
      <c r="BJ81" t="s">
        <v>1259</v>
      </c>
      <c r="BK81" t="s">
        <v>94</v>
      </c>
      <c r="BL81" t="s">
        <v>1259</v>
      </c>
      <c r="BM81" t="s">
        <v>1260</v>
      </c>
      <c r="BN81" t="s">
        <v>74</v>
      </c>
      <c r="BO81" t="s">
        <v>74</v>
      </c>
      <c r="BP81" t="s">
        <v>74</v>
      </c>
      <c r="BQ81" t="s">
        <v>74</v>
      </c>
      <c r="BR81" t="s">
        <v>97</v>
      </c>
      <c r="BS81" t="s">
        <v>1261</v>
      </c>
      <c r="BT81" t="str">
        <f>HYPERLINK("https%3A%2F%2Fwww.webofscience.com%2Fwos%2Fwoscc%2Ffull-record%2FWOS:000172600200002","View Full Record in Web of Science")</f>
        <v>View Full Record in Web of Science</v>
      </c>
    </row>
    <row r="82" spans="1:72" x14ac:dyDescent="0.15">
      <c r="A82" t="s">
        <v>72</v>
      </c>
      <c r="B82" t="s">
        <v>1262</v>
      </c>
      <c r="C82" t="s">
        <v>74</v>
      </c>
      <c r="D82" t="s">
        <v>74</v>
      </c>
      <c r="E82" t="s">
        <v>74</v>
      </c>
      <c r="F82" t="s">
        <v>1262</v>
      </c>
      <c r="G82" t="s">
        <v>74</v>
      </c>
      <c r="H82" t="s">
        <v>74</v>
      </c>
      <c r="I82" t="s">
        <v>1263</v>
      </c>
      <c r="J82" t="s">
        <v>1245</v>
      </c>
      <c r="K82" t="s">
        <v>74</v>
      </c>
      <c r="L82" t="s">
        <v>74</v>
      </c>
      <c r="M82" t="s">
        <v>77</v>
      </c>
      <c r="N82" t="s">
        <v>78</v>
      </c>
      <c r="O82" t="s">
        <v>74</v>
      </c>
      <c r="P82" t="s">
        <v>74</v>
      </c>
      <c r="Q82" t="s">
        <v>74</v>
      </c>
      <c r="R82" t="s">
        <v>74</v>
      </c>
      <c r="S82" t="s">
        <v>74</v>
      </c>
      <c r="T82" t="s">
        <v>1264</v>
      </c>
      <c r="U82" t="s">
        <v>1265</v>
      </c>
      <c r="V82" t="s">
        <v>1266</v>
      </c>
      <c r="W82" t="s">
        <v>1267</v>
      </c>
      <c r="X82" t="s">
        <v>1268</v>
      </c>
      <c r="Y82" t="s">
        <v>1269</v>
      </c>
      <c r="Z82" t="s">
        <v>1270</v>
      </c>
      <c r="AA82" t="s">
        <v>1271</v>
      </c>
      <c r="AB82" t="s">
        <v>1272</v>
      </c>
      <c r="AC82" t="s">
        <v>74</v>
      </c>
      <c r="AD82" t="s">
        <v>74</v>
      </c>
      <c r="AE82" t="s">
        <v>74</v>
      </c>
      <c r="AF82" t="s">
        <v>74</v>
      </c>
      <c r="AG82">
        <v>49</v>
      </c>
      <c r="AH82">
        <v>34</v>
      </c>
      <c r="AI82">
        <v>37</v>
      </c>
      <c r="AJ82">
        <v>0</v>
      </c>
      <c r="AK82">
        <v>16</v>
      </c>
      <c r="AL82" t="s">
        <v>906</v>
      </c>
      <c r="AM82" t="s">
        <v>738</v>
      </c>
      <c r="AN82" t="s">
        <v>1253</v>
      </c>
      <c r="AO82" t="s">
        <v>1254</v>
      </c>
      <c r="AP82" t="s">
        <v>1255</v>
      </c>
      <c r="AQ82" t="s">
        <v>74</v>
      </c>
      <c r="AR82" t="s">
        <v>1245</v>
      </c>
      <c r="AS82" t="s">
        <v>1256</v>
      </c>
      <c r="AT82" t="s">
        <v>74</v>
      </c>
      <c r="AU82">
        <v>2001</v>
      </c>
      <c r="AV82">
        <v>453</v>
      </c>
      <c r="AW82" t="s">
        <v>1257</v>
      </c>
      <c r="AX82" t="s">
        <v>74</v>
      </c>
      <c r="AY82" t="s">
        <v>74</v>
      </c>
      <c r="AZ82" t="s">
        <v>74</v>
      </c>
      <c r="BA82" t="s">
        <v>74</v>
      </c>
      <c r="BB82">
        <v>25</v>
      </c>
      <c r="BC82">
        <v>36</v>
      </c>
      <c r="BD82" t="s">
        <v>74</v>
      </c>
      <c r="BE82" t="s">
        <v>1273</v>
      </c>
      <c r="BF82" t="str">
        <f>HYPERLINK("http://dx.doi.org/10.1023/A:1013147413136","http://dx.doi.org/10.1023/A:1013147413136")</f>
        <v>http://dx.doi.org/10.1023/A:1013147413136</v>
      </c>
      <c r="BG82" t="s">
        <v>74</v>
      </c>
      <c r="BH82" t="s">
        <v>74</v>
      </c>
      <c r="BI82">
        <v>12</v>
      </c>
      <c r="BJ82" t="s">
        <v>1259</v>
      </c>
      <c r="BK82" t="s">
        <v>94</v>
      </c>
      <c r="BL82" t="s">
        <v>1259</v>
      </c>
      <c r="BM82" t="s">
        <v>1260</v>
      </c>
      <c r="BN82" t="s">
        <v>74</v>
      </c>
      <c r="BO82" t="s">
        <v>74</v>
      </c>
      <c r="BP82" t="s">
        <v>74</v>
      </c>
      <c r="BQ82" t="s">
        <v>74</v>
      </c>
      <c r="BR82" t="s">
        <v>97</v>
      </c>
      <c r="BS82" t="s">
        <v>1274</v>
      </c>
      <c r="BT82" t="str">
        <f>HYPERLINK("https%3A%2F%2Fwww.webofscience.com%2Fwos%2Fwoscc%2Ffull-record%2FWOS:000172600200003","View Full Record in Web of Science")</f>
        <v>View Full Record in Web of Science</v>
      </c>
    </row>
    <row r="83" spans="1:72" x14ac:dyDescent="0.15">
      <c r="A83" t="s">
        <v>72</v>
      </c>
      <c r="B83" t="s">
        <v>1275</v>
      </c>
      <c r="C83" t="s">
        <v>74</v>
      </c>
      <c r="D83" t="s">
        <v>74</v>
      </c>
      <c r="E83" t="s">
        <v>74</v>
      </c>
      <c r="F83" t="s">
        <v>1275</v>
      </c>
      <c r="G83" t="s">
        <v>74</v>
      </c>
      <c r="H83" t="s">
        <v>74</v>
      </c>
      <c r="I83" t="s">
        <v>1276</v>
      </c>
      <c r="J83" t="s">
        <v>1245</v>
      </c>
      <c r="K83" t="s">
        <v>74</v>
      </c>
      <c r="L83" t="s">
        <v>74</v>
      </c>
      <c r="M83" t="s">
        <v>77</v>
      </c>
      <c r="N83" t="s">
        <v>236</v>
      </c>
      <c r="O83" t="s">
        <v>74</v>
      </c>
      <c r="P83" t="s">
        <v>74</v>
      </c>
      <c r="Q83" t="s">
        <v>74</v>
      </c>
      <c r="R83" t="s">
        <v>74</v>
      </c>
      <c r="S83" t="s">
        <v>74</v>
      </c>
      <c r="T83" t="s">
        <v>1277</v>
      </c>
      <c r="U83" t="s">
        <v>1278</v>
      </c>
      <c r="V83" t="s">
        <v>1279</v>
      </c>
      <c r="W83" t="s">
        <v>885</v>
      </c>
      <c r="X83" t="s">
        <v>221</v>
      </c>
      <c r="Y83" t="s">
        <v>1280</v>
      </c>
      <c r="Z83" t="s">
        <v>1281</v>
      </c>
      <c r="AA83" t="s">
        <v>74</v>
      </c>
      <c r="AB83" t="s">
        <v>74</v>
      </c>
      <c r="AC83" t="s">
        <v>74</v>
      </c>
      <c r="AD83" t="s">
        <v>74</v>
      </c>
      <c r="AE83" t="s">
        <v>74</v>
      </c>
      <c r="AF83" t="s">
        <v>74</v>
      </c>
      <c r="AG83">
        <v>103</v>
      </c>
      <c r="AH83">
        <v>10</v>
      </c>
      <c r="AI83">
        <v>11</v>
      </c>
      <c r="AJ83">
        <v>1</v>
      </c>
      <c r="AK83">
        <v>13</v>
      </c>
      <c r="AL83" t="s">
        <v>906</v>
      </c>
      <c r="AM83" t="s">
        <v>738</v>
      </c>
      <c r="AN83" t="s">
        <v>1253</v>
      </c>
      <c r="AO83" t="s">
        <v>1254</v>
      </c>
      <c r="AP83" t="s">
        <v>1255</v>
      </c>
      <c r="AQ83" t="s">
        <v>74</v>
      </c>
      <c r="AR83" t="s">
        <v>1245</v>
      </c>
      <c r="AS83" t="s">
        <v>1256</v>
      </c>
      <c r="AT83" t="s">
        <v>74</v>
      </c>
      <c r="AU83">
        <v>2001</v>
      </c>
      <c r="AV83">
        <v>453</v>
      </c>
      <c r="AW83" t="s">
        <v>1257</v>
      </c>
      <c r="AX83" t="s">
        <v>74</v>
      </c>
      <c r="AY83" t="s">
        <v>74</v>
      </c>
      <c r="AZ83" t="s">
        <v>74</v>
      </c>
      <c r="BA83" t="s">
        <v>74</v>
      </c>
      <c r="BB83">
        <v>37</v>
      </c>
      <c r="BC83">
        <v>54</v>
      </c>
      <c r="BD83" t="s">
        <v>74</v>
      </c>
      <c r="BE83" t="s">
        <v>1282</v>
      </c>
      <c r="BF83" t="str">
        <f>HYPERLINK("http://dx.doi.org/10.1023/A:1013199414045","http://dx.doi.org/10.1023/A:1013199414045")</f>
        <v>http://dx.doi.org/10.1023/A:1013199414045</v>
      </c>
      <c r="BG83" t="s">
        <v>74</v>
      </c>
      <c r="BH83" t="s">
        <v>74</v>
      </c>
      <c r="BI83">
        <v>18</v>
      </c>
      <c r="BJ83" t="s">
        <v>1259</v>
      </c>
      <c r="BK83" t="s">
        <v>94</v>
      </c>
      <c r="BL83" t="s">
        <v>1259</v>
      </c>
      <c r="BM83" t="s">
        <v>1260</v>
      </c>
      <c r="BN83" t="s">
        <v>74</v>
      </c>
      <c r="BO83" t="s">
        <v>74</v>
      </c>
      <c r="BP83" t="s">
        <v>74</v>
      </c>
      <c r="BQ83" t="s">
        <v>74</v>
      </c>
      <c r="BR83" t="s">
        <v>97</v>
      </c>
      <c r="BS83" t="s">
        <v>1283</v>
      </c>
      <c r="BT83" t="str">
        <f>HYPERLINK("https%3A%2F%2Fwww.webofscience.com%2Fwos%2Fwoscc%2Ffull-record%2FWOS:000172600200004","View Full Record in Web of Science")</f>
        <v>View Full Record in Web of Science</v>
      </c>
    </row>
    <row r="84" spans="1:72" x14ac:dyDescent="0.15">
      <c r="A84" t="s">
        <v>72</v>
      </c>
      <c r="B84" t="s">
        <v>1284</v>
      </c>
      <c r="C84" t="s">
        <v>74</v>
      </c>
      <c r="D84" t="s">
        <v>74</v>
      </c>
      <c r="E84" t="s">
        <v>74</v>
      </c>
      <c r="F84" t="s">
        <v>1284</v>
      </c>
      <c r="G84" t="s">
        <v>74</v>
      </c>
      <c r="H84" t="s">
        <v>74</v>
      </c>
      <c r="I84" t="s">
        <v>1285</v>
      </c>
      <c r="J84" t="s">
        <v>1245</v>
      </c>
      <c r="K84" t="s">
        <v>74</v>
      </c>
      <c r="L84" t="s">
        <v>74</v>
      </c>
      <c r="M84" t="s">
        <v>77</v>
      </c>
      <c r="N84" t="s">
        <v>78</v>
      </c>
      <c r="O84" t="s">
        <v>74</v>
      </c>
      <c r="P84" t="s">
        <v>74</v>
      </c>
      <c r="Q84" t="s">
        <v>74</v>
      </c>
      <c r="R84" t="s">
        <v>74</v>
      </c>
      <c r="S84" t="s">
        <v>74</v>
      </c>
      <c r="T84" t="s">
        <v>1286</v>
      </c>
      <c r="U84" t="s">
        <v>1287</v>
      </c>
      <c r="V84" t="s">
        <v>1288</v>
      </c>
      <c r="W84" t="s">
        <v>1289</v>
      </c>
      <c r="X84" t="s">
        <v>1290</v>
      </c>
      <c r="Y84" t="s">
        <v>1291</v>
      </c>
      <c r="Z84" t="s">
        <v>1292</v>
      </c>
      <c r="AA84" t="s">
        <v>74</v>
      </c>
      <c r="AB84" t="s">
        <v>74</v>
      </c>
      <c r="AC84" t="s">
        <v>74</v>
      </c>
      <c r="AD84" t="s">
        <v>74</v>
      </c>
      <c r="AE84" t="s">
        <v>74</v>
      </c>
      <c r="AF84" t="s">
        <v>74</v>
      </c>
      <c r="AG84">
        <v>63</v>
      </c>
      <c r="AH84">
        <v>11</v>
      </c>
      <c r="AI84">
        <v>13</v>
      </c>
      <c r="AJ84">
        <v>1</v>
      </c>
      <c r="AK84">
        <v>9</v>
      </c>
      <c r="AL84" t="s">
        <v>906</v>
      </c>
      <c r="AM84" t="s">
        <v>738</v>
      </c>
      <c r="AN84" t="s">
        <v>1253</v>
      </c>
      <c r="AO84" t="s">
        <v>1254</v>
      </c>
      <c r="AP84" t="s">
        <v>1255</v>
      </c>
      <c r="AQ84" t="s">
        <v>74</v>
      </c>
      <c r="AR84" t="s">
        <v>1245</v>
      </c>
      <c r="AS84" t="s">
        <v>1256</v>
      </c>
      <c r="AT84" t="s">
        <v>74</v>
      </c>
      <c r="AU84">
        <v>2001</v>
      </c>
      <c r="AV84">
        <v>453</v>
      </c>
      <c r="AW84" t="s">
        <v>1257</v>
      </c>
      <c r="AX84" t="s">
        <v>74</v>
      </c>
      <c r="AY84" t="s">
        <v>74</v>
      </c>
      <c r="AZ84" t="s">
        <v>74</v>
      </c>
      <c r="BA84" t="s">
        <v>74</v>
      </c>
      <c r="BB84">
        <v>55</v>
      </c>
      <c r="BC84">
        <v>65</v>
      </c>
      <c r="BD84" t="s">
        <v>74</v>
      </c>
      <c r="BE84" t="s">
        <v>1293</v>
      </c>
      <c r="BF84" t="str">
        <f>HYPERLINK("http://dx.doi.org/10.1023/A:1013103630883","http://dx.doi.org/10.1023/A:1013103630883")</f>
        <v>http://dx.doi.org/10.1023/A:1013103630883</v>
      </c>
      <c r="BG84" t="s">
        <v>74</v>
      </c>
      <c r="BH84" t="s">
        <v>74</v>
      </c>
      <c r="BI84">
        <v>11</v>
      </c>
      <c r="BJ84" t="s">
        <v>1259</v>
      </c>
      <c r="BK84" t="s">
        <v>94</v>
      </c>
      <c r="BL84" t="s">
        <v>1259</v>
      </c>
      <c r="BM84" t="s">
        <v>1260</v>
      </c>
      <c r="BN84" t="s">
        <v>74</v>
      </c>
      <c r="BO84" t="s">
        <v>74</v>
      </c>
      <c r="BP84" t="s">
        <v>74</v>
      </c>
      <c r="BQ84" t="s">
        <v>74</v>
      </c>
      <c r="BR84" t="s">
        <v>97</v>
      </c>
      <c r="BS84" t="s">
        <v>1294</v>
      </c>
      <c r="BT84" t="str">
        <f>HYPERLINK("https%3A%2F%2Fwww.webofscience.com%2Fwos%2Fwoscc%2Ffull-record%2FWOS:000172600200005","View Full Record in Web of Science")</f>
        <v>View Full Record in Web of Science</v>
      </c>
    </row>
    <row r="85" spans="1:72" x14ac:dyDescent="0.15">
      <c r="A85" t="s">
        <v>72</v>
      </c>
      <c r="B85" t="s">
        <v>1295</v>
      </c>
      <c r="C85" t="s">
        <v>74</v>
      </c>
      <c r="D85" t="s">
        <v>74</v>
      </c>
      <c r="E85" t="s">
        <v>74</v>
      </c>
      <c r="F85" t="s">
        <v>1295</v>
      </c>
      <c r="G85" t="s">
        <v>74</v>
      </c>
      <c r="H85" t="s">
        <v>74</v>
      </c>
      <c r="I85" t="s">
        <v>1296</v>
      </c>
      <c r="J85" t="s">
        <v>1245</v>
      </c>
      <c r="K85" t="s">
        <v>74</v>
      </c>
      <c r="L85" t="s">
        <v>74</v>
      </c>
      <c r="M85" t="s">
        <v>77</v>
      </c>
      <c r="N85" t="s">
        <v>78</v>
      </c>
      <c r="O85" t="s">
        <v>74</v>
      </c>
      <c r="P85" t="s">
        <v>74</v>
      </c>
      <c r="Q85" t="s">
        <v>74</v>
      </c>
      <c r="R85" t="s">
        <v>74</v>
      </c>
      <c r="S85" t="s">
        <v>74</v>
      </c>
      <c r="T85" t="s">
        <v>1297</v>
      </c>
      <c r="U85" t="s">
        <v>1298</v>
      </c>
      <c r="V85" t="s">
        <v>1299</v>
      </c>
      <c r="W85" t="s">
        <v>1300</v>
      </c>
      <c r="X85" t="s">
        <v>1301</v>
      </c>
      <c r="Y85" t="s">
        <v>1302</v>
      </c>
      <c r="Z85" t="s">
        <v>74</v>
      </c>
      <c r="AA85" t="s">
        <v>74</v>
      </c>
      <c r="AB85" t="s">
        <v>74</v>
      </c>
      <c r="AC85" t="s">
        <v>74</v>
      </c>
      <c r="AD85" t="s">
        <v>74</v>
      </c>
      <c r="AE85" t="s">
        <v>74</v>
      </c>
      <c r="AF85" t="s">
        <v>74</v>
      </c>
      <c r="AG85">
        <v>31</v>
      </c>
      <c r="AH85">
        <v>14</v>
      </c>
      <c r="AI85">
        <v>15</v>
      </c>
      <c r="AJ85">
        <v>1</v>
      </c>
      <c r="AK85">
        <v>8</v>
      </c>
      <c r="AL85" t="s">
        <v>906</v>
      </c>
      <c r="AM85" t="s">
        <v>738</v>
      </c>
      <c r="AN85" t="s">
        <v>1253</v>
      </c>
      <c r="AO85" t="s">
        <v>1254</v>
      </c>
      <c r="AP85" t="s">
        <v>1255</v>
      </c>
      <c r="AQ85" t="s">
        <v>74</v>
      </c>
      <c r="AR85" t="s">
        <v>1245</v>
      </c>
      <c r="AS85" t="s">
        <v>1256</v>
      </c>
      <c r="AT85" t="s">
        <v>74</v>
      </c>
      <c r="AU85">
        <v>2001</v>
      </c>
      <c r="AV85">
        <v>453</v>
      </c>
      <c r="AW85" t="s">
        <v>1257</v>
      </c>
      <c r="AX85" t="s">
        <v>74</v>
      </c>
      <c r="AY85" t="s">
        <v>74</v>
      </c>
      <c r="AZ85" t="s">
        <v>74</v>
      </c>
      <c r="BA85" t="s">
        <v>74</v>
      </c>
      <c r="BB85">
        <v>67</v>
      </c>
      <c r="BC85">
        <v>77</v>
      </c>
      <c r="BD85" t="s">
        <v>74</v>
      </c>
      <c r="BE85" t="s">
        <v>1303</v>
      </c>
      <c r="BF85" t="str">
        <f>HYPERLINK("http://dx.doi.org/10.1023/A:1013155614953","http://dx.doi.org/10.1023/A:1013155614953")</f>
        <v>http://dx.doi.org/10.1023/A:1013155614953</v>
      </c>
      <c r="BG85" t="s">
        <v>74</v>
      </c>
      <c r="BH85" t="s">
        <v>74</v>
      </c>
      <c r="BI85">
        <v>11</v>
      </c>
      <c r="BJ85" t="s">
        <v>1259</v>
      </c>
      <c r="BK85" t="s">
        <v>94</v>
      </c>
      <c r="BL85" t="s">
        <v>1259</v>
      </c>
      <c r="BM85" t="s">
        <v>1260</v>
      </c>
      <c r="BN85" t="s">
        <v>74</v>
      </c>
      <c r="BO85" t="s">
        <v>74</v>
      </c>
      <c r="BP85" t="s">
        <v>74</v>
      </c>
      <c r="BQ85" t="s">
        <v>74</v>
      </c>
      <c r="BR85" t="s">
        <v>97</v>
      </c>
      <c r="BS85" t="s">
        <v>1304</v>
      </c>
      <c r="BT85" t="str">
        <f>HYPERLINK("https%3A%2F%2Fwww.webofscience.com%2Fwos%2Fwoscc%2Ffull-record%2FWOS:000172600200006","View Full Record in Web of Science")</f>
        <v>View Full Record in Web of Science</v>
      </c>
    </row>
    <row r="86" spans="1:72" x14ac:dyDescent="0.15">
      <c r="A86" t="s">
        <v>72</v>
      </c>
      <c r="B86" t="s">
        <v>1305</v>
      </c>
      <c r="C86" t="s">
        <v>74</v>
      </c>
      <c r="D86" t="s">
        <v>74</v>
      </c>
      <c r="E86" t="s">
        <v>74</v>
      </c>
      <c r="F86" t="s">
        <v>1305</v>
      </c>
      <c r="G86" t="s">
        <v>74</v>
      </c>
      <c r="H86" t="s">
        <v>74</v>
      </c>
      <c r="I86" t="s">
        <v>1306</v>
      </c>
      <c r="J86" t="s">
        <v>1245</v>
      </c>
      <c r="K86" t="s">
        <v>74</v>
      </c>
      <c r="L86" t="s">
        <v>74</v>
      </c>
      <c r="M86" t="s">
        <v>77</v>
      </c>
      <c r="N86" t="s">
        <v>78</v>
      </c>
      <c r="O86" t="s">
        <v>74</v>
      </c>
      <c r="P86" t="s">
        <v>74</v>
      </c>
      <c r="Q86" t="s">
        <v>74</v>
      </c>
      <c r="R86" t="s">
        <v>74</v>
      </c>
      <c r="S86" t="s">
        <v>74</v>
      </c>
      <c r="T86" t="s">
        <v>1307</v>
      </c>
      <c r="U86" t="s">
        <v>1308</v>
      </c>
      <c r="V86" t="s">
        <v>1309</v>
      </c>
      <c r="W86" t="s">
        <v>1310</v>
      </c>
      <c r="X86" t="s">
        <v>1311</v>
      </c>
      <c r="Y86" t="s">
        <v>1312</v>
      </c>
      <c r="Z86" t="s">
        <v>1313</v>
      </c>
      <c r="AA86" t="s">
        <v>74</v>
      </c>
      <c r="AB86" t="s">
        <v>74</v>
      </c>
      <c r="AC86" t="s">
        <v>74</v>
      </c>
      <c r="AD86" t="s">
        <v>74</v>
      </c>
      <c r="AE86" t="s">
        <v>74</v>
      </c>
      <c r="AF86" t="s">
        <v>74</v>
      </c>
      <c r="AG86">
        <v>64</v>
      </c>
      <c r="AH86">
        <v>14</v>
      </c>
      <c r="AI86">
        <v>14</v>
      </c>
      <c r="AJ86">
        <v>0</v>
      </c>
      <c r="AK86">
        <v>3</v>
      </c>
      <c r="AL86" t="s">
        <v>906</v>
      </c>
      <c r="AM86" t="s">
        <v>738</v>
      </c>
      <c r="AN86" t="s">
        <v>1253</v>
      </c>
      <c r="AO86" t="s">
        <v>1254</v>
      </c>
      <c r="AP86" t="s">
        <v>1255</v>
      </c>
      <c r="AQ86" t="s">
        <v>74</v>
      </c>
      <c r="AR86" t="s">
        <v>1245</v>
      </c>
      <c r="AS86" t="s">
        <v>1256</v>
      </c>
      <c r="AT86" t="s">
        <v>74</v>
      </c>
      <c r="AU86">
        <v>2001</v>
      </c>
      <c r="AV86">
        <v>453</v>
      </c>
      <c r="AW86" t="s">
        <v>1257</v>
      </c>
      <c r="AX86" t="s">
        <v>74</v>
      </c>
      <c r="AY86" t="s">
        <v>74</v>
      </c>
      <c r="AZ86" t="s">
        <v>74</v>
      </c>
      <c r="BA86" t="s">
        <v>74</v>
      </c>
      <c r="BB86">
        <v>79</v>
      </c>
      <c r="BC86">
        <v>90</v>
      </c>
      <c r="BD86" t="s">
        <v>74</v>
      </c>
      <c r="BE86" t="s">
        <v>1314</v>
      </c>
      <c r="BF86" t="str">
        <f>HYPERLINK("http://dx.doi.org/10.1023/A:1013107715862","http://dx.doi.org/10.1023/A:1013107715862")</f>
        <v>http://dx.doi.org/10.1023/A:1013107715862</v>
      </c>
      <c r="BG86" t="s">
        <v>74</v>
      </c>
      <c r="BH86" t="s">
        <v>74</v>
      </c>
      <c r="BI86">
        <v>12</v>
      </c>
      <c r="BJ86" t="s">
        <v>1259</v>
      </c>
      <c r="BK86" t="s">
        <v>94</v>
      </c>
      <c r="BL86" t="s">
        <v>1259</v>
      </c>
      <c r="BM86" t="s">
        <v>1260</v>
      </c>
      <c r="BN86" t="s">
        <v>74</v>
      </c>
      <c r="BO86" t="s">
        <v>74</v>
      </c>
      <c r="BP86" t="s">
        <v>74</v>
      </c>
      <c r="BQ86" t="s">
        <v>74</v>
      </c>
      <c r="BR86" t="s">
        <v>97</v>
      </c>
      <c r="BS86" t="s">
        <v>1315</v>
      </c>
      <c r="BT86" t="str">
        <f>HYPERLINK("https%3A%2F%2Fwww.webofscience.com%2Fwos%2Fwoscc%2Ffull-record%2FWOS:000172600200007","View Full Record in Web of Science")</f>
        <v>View Full Record in Web of Science</v>
      </c>
    </row>
    <row r="87" spans="1:72" x14ac:dyDescent="0.15">
      <c r="A87" t="s">
        <v>72</v>
      </c>
      <c r="B87" t="s">
        <v>1316</v>
      </c>
      <c r="C87" t="s">
        <v>74</v>
      </c>
      <c r="D87" t="s">
        <v>74</v>
      </c>
      <c r="E87" t="s">
        <v>74</v>
      </c>
      <c r="F87" t="s">
        <v>1316</v>
      </c>
      <c r="G87" t="s">
        <v>74</v>
      </c>
      <c r="H87" t="s">
        <v>74</v>
      </c>
      <c r="I87" t="s">
        <v>1317</v>
      </c>
      <c r="J87" t="s">
        <v>1245</v>
      </c>
      <c r="K87" t="s">
        <v>74</v>
      </c>
      <c r="L87" t="s">
        <v>74</v>
      </c>
      <c r="M87" t="s">
        <v>77</v>
      </c>
      <c r="N87" t="s">
        <v>78</v>
      </c>
      <c r="O87" t="s">
        <v>74</v>
      </c>
      <c r="P87" t="s">
        <v>74</v>
      </c>
      <c r="Q87" t="s">
        <v>74</v>
      </c>
      <c r="R87" t="s">
        <v>74</v>
      </c>
      <c r="S87" t="s">
        <v>74</v>
      </c>
      <c r="T87" t="s">
        <v>1318</v>
      </c>
      <c r="U87" t="s">
        <v>1319</v>
      </c>
      <c r="V87" t="s">
        <v>1320</v>
      </c>
      <c r="W87" t="s">
        <v>1321</v>
      </c>
      <c r="X87" t="s">
        <v>1322</v>
      </c>
      <c r="Y87" t="s">
        <v>1323</v>
      </c>
      <c r="Z87" t="s">
        <v>1324</v>
      </c>
      <c r="AA87" t="s">
        <v>74</v>
      </c>
      <c r="AB87" t="s">
        <v>74</v>
      </c>
      <c r="AC87" t="s">
        <v>74</v>
      </c>
      <c r="AD87" t="s">
        <v>74</v>
      </c>
      <c r="AE87" t="s">
        <v>74</v>
      </c>
      <c r="AF87" t="s">
        <v>74</v>
      </c>
      <c r="AG87">
        <v>26</v>
      </c>
      <c r="AH87">
        <v>19</v>
      </c>
      <c r="AI87">
        <v>20</v>
      </c>
      <c r="AJ87">
        <v>0</v>
      </c>
      <c r="AK87">
        <v>7</v>
      </c>
      <c r="AL87" t="s">
        <v>906</v>
      </c>
      <c r="AM87" t="s">
        <v>738</v>
      </c>
      <c r="AN87" t="s">
        <v>1253</v>
      </c>
      <c r="AO87" t="s">
        <v>1254</v>
      </c>
      <c r="AP87" t="s">
        <v>1255</v>
      </c>
      <c r="AQ87" t="s">
        <v>74</v>
      </c>
      <c r="AR87" t="s">
        <v>1245</v>
      </c>
      <c r="AS87" t="s">
        <v>1256</v>
      </c>
      <c r="AT87" t="s">
        <v>74</v>
      </c>
      <c r="AU87">
        <v>2001</v>
      </c>
      <c r="AV87">
        <v>453</v>
      </c>
      <c r="AW87" t="s">
        <v>1257</v>
      </c>
      <c r="AX87" t="s">
        <v>74</v>
      </c>
      <c r="AY87" t="s">
        <v>74</v>
      </c>
      <c r="AZ87" t="s">
        <v>74</v>
      </c>
      <c r="BA87" t="s">
        <v>74</v>
      </c>
      <c r="BB87">
        <v>161</v>
      </c>
      <c r="BC87">
        <v>170</v>
      </c>
      <c r="BD87" t="s">
        <v>74</v>
      </c>
      <c r="BE87" t="s">
        <v>1325</v>
      </c>
      <c r="BF87" t="str">
        <f>HYPERLINK("http://dx.doi.org/10.1023/A:1013140606293","http://dx.doi.org/10.1023/A:1013140606293")</f>
        <v>http://dx.doi.org/10.1023/A:1013140606293</v>
      </c>
      <c r="BG87" t="s">
        <v>74</v>
      </c>
      <c r="BH87" t="s">
        <v>74</v>
      </c>
      <c r="BI87">
        <v>10</v>
      </c>
      <c r="BJ87" t="s">
        <v>1259</v>
      </c>
      <c r="BK87" t="s">
        <v>94</v>
      </c>
      <c r="BL87" t="s">
        <v>1259</v>
      </c>
      <c r="BM87" t="s">
        <v>1260</v>
      </c>
      <c r="BN87" t="s">
        <v>74</v>
      </c>
      <c r="BO87" t="s">
        <v>74</v>
      </c>
      <c r="BP87" t="s">
        <v>74</v>
      </c>
      <c r="BQ87" t="s">
        <v>74</v>
      </c>
      <c r="BR87" t="s">
        <v>97</v>
      </c>
      <c r="BS87" t="s">
        <v>1326</v>
      </c>
      <c r="BT87" t="str">
        <f>HYPERLINK("https%3A%2F%2Fwww.webofscience.com%2Fwos%2Fwoscc%2Ffull-record%2FWOS:000172600200014","View Full Record in Web of Science")</f>
        <v>View Full Record in Web of Science</v>
      </c>
    </row>
    <row r="88" spans="1:72" x14ac:dyDescent="0.15">
      <c r="A88" t="s">
        <v>72</v>
      </c>
      <c r="B88" t="s">
        <v>1327</v>
      </c>
      <c r="C88" t="s">
        <v>74</v>
      </c>
      <c r="D88" t="s">
        <v>74</v>
      </c>
      <c r="E88" t="s">
        <v>74</v>
      </c>
      <c r="F88" t="s">
        <v>1327</v>
      </c>
      <c r="G88" t="s">
        <v>74</v>
      </c>
      <c r="H88" t="s">
        <v>74</v>
      </c>
      <c r="I88" t="s">
        <v>1328</v>
      </c>
      <c r="J88" t="s">
        <v>1245</v>
      </c>
      <c r="K88" t="s">
        <v>74</v>
      </c>
      <c r="L88" t="s">
        <v>74</v>
      </c>
      <c r="M88" t="s">
        <v>77</v>
      </c>
      <c r="N88" t="s">
        <v>78</v>
      </c>
      <c r="O88" t="s">
        <v>74</v>
      </c>
      <c r="P88" t="s">
        <v>74</v>
      </c>
      <c r="Q88" t="s">
        <v>74</v>
      </c>
      <c r="R88" t="s">
        <v>74</v>
      </c>
      <c r="S88" t="s">
        <v>74</v>
      </c>
      <c r="T88" t="s">
        <v>1329</v>
      </c>
      <c r="U88" t="s">
        <v>1330</v>
      </c>
      <c r="V88" t="s">
        <v>1331</v>
      </c>
      <c r="W88" t="s">
        <v>1332</v>
      </c>
      <c r="X88" t="s">
        <v>74</v>
      </c>
      <c r="Y88" t="s">
        <v>1333</v>
      </c>
      <c r="Z88" t="s">
        <v>1334</v>
      </c>
      <c r="AA88" t="s">
        <v>74</v>
      </c>
      <c r="AB88" t="s">
        <v>74</v>
      </c>
      <c r="AC88" t="s">
        <v>74</v>
      </c>
      <c r="AD88" t="s">
        <v>74</v>
      </c>
      <c r="AE88" t="s">
        <v>74</v>
      </c>
      <c r="AF88" t="s">
        <v>74</v>
      </c>
      <c r="AG88">
        <v>90</v>
      </c>
      <c r="AH88">
        <v>108</v>
      </c>
      <c r="AI88">
        <v>114</v>
      </c>
      <c r="AJ88">
        <v>0</v>
      </c>
      <c r="AK88">
        <v>24</v>
      </c>
      <c r="AL88" t="s">
        <v>906</v>
      </c>
      <c r="AM88" t="s">
        <v>738</v>
      </c>
      <c r="AN88" t="s">
        <v>1253</v>
      </c>
      <c r="AO88" t="s">
        <v>1254</v>
      </c>
      <c r="AP88" t="s">
        <v>1255</v>
      </c>
      <c r="AQ88" t="s">
        <v>74</v>
      </c>
      <c r="AR88" t="s">
        <v>1245</v>
      </c>
      <c r="AS88" t="s">
        <v>1256</v>
      </c>
      <c r="AT88" t="s">
        <v>91</v>
      </c>
      <c r="AU88">
        <v>2001</v>
      </c>
      <c r="AV88">
        <v>443</v>
      </c>
      <c r="AW88" t="s">
        <v>1257</v>
      </c>
      <c r="AX88" t="s">
        <v>74</v>
      </c>
      <c r="AY88" t="s">
        <v>74</v>
      </c>
      <c r="AZ88" t="s">
        <v>74</v>
      </c>
      <c r="BA88" t="s">
        <v>74</v>
      </c>
      <c r="BB88">
        <v>69</v>
      </c>
      <c r="BC88">
        <v>86</v>
      </c>
      <c r="BD88" t="s">
        <v>74</v>
      </c>
      <c r="BE88" t="s">
        <v>1335</v>
      </c>
      <c r="BF88" t="str">
        <f>HYPERLINK("http://dx.doi.org/10.1023/A:1017596120422","http://dx.doi.org/10.1023/A:1017596120422")</f>
        <v>http://dx.doi.org/10.1023/A:1017596120422</v>
      </c>
      <c r="BG88" t="s">
        <v>74</v>
      </c>
      <c r="BH88" t="s">
        <v>74</v>
      </c>
      <c r="BI88">
        <v>18</v>
      </c>
      <c r="BJ88" t="s">
        <v>1259</v>
      </c>
      <c r="BK88" t="s">
        <v>94</v>
      </c>
      <c r="BL88" t="s">
        <v>1259</v>
      </c>
      <c r="BM88" t="s">
        <v>1336</v>
      </c>
      <c r="BN88" t="s">
        <v>74</v>
      </c>
      <c r="BO88" t="s">
        <v>1337</v>
      </c>
      <c r="BP88" t="s">
        <v>74</v>
      </c>
      <c r="BQ88" t="s">
        <v>74</v>
      </c>
      <c r="BR88" t="s">
        <v>97</v>
      </c>
      <c r="BS88" t="s">
        <v>1338</v>
      </c>
      <c r="BT88" t="str">
        <f>HYPERLINK("https%3A%2F%2Fwww.webofscience.com%2Fwos%2Fwoscc%2Ffull-record%2FWOS:000168065900008","View Full Record in Web of Science")</f>
        <v>View Full Record in Web of Science</v>
      </c>
    </row>
    <row r="89" spans="1:72" x14ac:dyDescent="0.15">
      <c r="A89" t="s">
        <v>72</v>
      </c>
      <c r="B89" t="s">
        <v>1339</v>
      </c>
      <c r="C89" t="s">
        <v>74</v>
      </c>
      <c r="D89" t="s">
        <v>74</v>
      </c>
      <c r="E89" t="s">
        <v>74</v>
      </c>
      <c r="F89" t="s">
        <v>1339</v>
      </c>
      <c r="G89" t="s">
        <v>74</v>
      </c>
      <c r="H89" t="s">
        <v>74</v>
      </c>
      <c r="I89" t="s">
        <v>1340</v>
      </c>
      <c r="J89" t="s">
        <v>1341</v>
      </c>
      <c r="K89" t="s">
        <v>1342</v>
      </c>
      <c r="L89" t="s">
        <v>74</v>
      </c>
      <c r="M89" t="s">
        <v>77</v>
      </c>
      <c r="N89" t="s">
        <v>236</v>
      </c>
      <c r="O89" t="s">
        <v>74</v>
      </c>
      <c r="P89" t="s">
        <v>74</v>
      </c>
      <c r="Q89" t="s">
        <v>74</v>
      </c>
      <c r="R89" t="s">
        <v>74</v>
      </c>
      <c r="S89" t="s">
        <v>74</v>
      </c>
      <c r="T89" t="s">
        <v>74</v>
      </c>
      <c r="U89" t="s">
        <v>1343</v>
      </c>
      <c r="V89" t="s">
        <v>74</v>
      </c>
      <c r="W89" t="s">
        <v>1344</v>
      </c>
      <c r="X89" t="s">
        <v>1345</v>
      </c>
      <c r="Y89" t="s">
        <v>1346</v>
      </c>
      <c r="Z89" t="s">
        <v>74</v>
      </c>
      <c r="AA89" t="s">
        <v>74</v>
      </c>
      <c r="AB89" t="s">
        <v>74</v>
      </c>
      <c r="AC89" t="s">
        <v>74</v>
      </c>
      <c r="AD89" t="s">
        <v>74</v>
      </c>
      <c r="AE89" t="s">
        <v>74</v>
      </c>
      <c r="AF89" t="s">
        <v>74</v>
      </c>
      <c r="AG89">
        <v>27</v>
      </c>
      <c r="AH89">
        <v>19</v>
      </c>
      <c r="AI89">
        <v>22</v>
      </c>
      <c r="AJ89">
        <v>0</v>
      </c>
      <c r="AK89">
        <v>4</v>
      </c>
      <c r="AL89" t="s">
        <v>1347</v>
      </c>
      <c r="AM89" t="s">
        <v>1348</v>
      </c>
      <c r="AN89" t="s">
        <v>1349</v>
      </c>
      <c r="AO89" t="s">
        <v>1350</v>
      </c>
      <c r="AP89" t="s">
        <v>74</v>
      </c>
      <c r="AQ89" t="s">
        <v>74</v>
      </c>
      <c r="AR89" t="s">
        <v>1351</v>
      </c>
      <c r="AS89" t="s">
        <v>1352</v>
      </c>
      <c r="AT89" t="s">
        <v>74</v>
      </c>
      <c r="AU89">
        <v>2001</v>
      </c>
      <c r="AV89">
        <v>331</v>
      </c>
      <c r="AW89" t="s">
        <v>74</v>
      </c>
      <c r="AX89" t="s">
        <v>99</v>
      </c>
      <c r="AY89" t="s">
        <v>74</v>
      </c>
      <c r="AZ89" t="s">
        <v>74</v>
      </c>
      <c r="BA89" t="s">
        <v>74</v>
      </c>
      <c r="BB89">
        <v>3</v>
      </c>
      <c r="BC89">
        <v>12</v>
      </c>
      <c r="BD89" t="s">
        <v>74</v>
      </c>
      <c r="BE89" t="s">
        <v>74</v>
      </c>
      <c r="BF89" t="s">
        <v>74</v>
      </c>
      <c r="BG89" t="s">
        <v>74</v>
      </c>
      <c r="BH89" t="s">
        <v>74</v>
      </c>
      <c r="BI89">
        <v>10</v>
      </c>
      <c r="BJ89" t="s">
        <v>1353</v>
      </c>
      <c r="BK89" t="s">
        <v>94</v>
      </c>
      <c r="BL89" t="s">
        <v>820</v>
      </c>
      <c r="BM89" t="s">
        <v>1354</v>
      </c>
      <c r="BN89">
        <v>11265473</v>
      </c>
      <c r="BO89" t="s">
        <v>74</v>
      </c>
      <c r="BP89" t="s">
        <v>74</v>
      </c>
      <c r="BQ89" t="s">
        <v>74</v>
      </c>
      <c r="BR89" t="s">
        <v>97</v>
      </c>
      <c r="BS89" t="s">
        <v>1355</v>
      </c>
      <c r="BT89" t="str">
        <f>HYPERLINK("https%3A%2F%2Fwww.webofscience.com%2Fwos%2Fwoscc%2Ffull-record%2FWOS:000168050900001","View Full Record in Web of Science")</f>
        <v>View Full Record in Web of Science</v>
      </c>
    </row>
    <row r="90" spans="1:72" x14ac:dyDescent="0.15">
      <c r="A90" t="s">
        <v>99</v>
      </c>
      <c r="B90" t="s">
        <v>1356</v>
      </c>
      <c r="C90" t="s">
        <v>74</v>
      </c>
      <c r="D90" t="s">
        <v>1357</v>
      </c>
      <c r="E90" t="s">
        <v>74</v>
      </c>
      <c r="F90" t="s">
        <v>1356</v>
      </c>
      <c r="G90" t="s">
        <v>74</v>
      </c>
      <c r="H90" t="s">
        <v>74</v>
      </c>
      <c r="I90" t="s">
        <v>1358</v>
      </c>
      <c r="J90" t="s">
        <v>1359</v>
      </c>
      <c r="K90" t="s">
        <v>1360</v>
      </c>
      <c r="L90" t="s">
        <v>74</v>
      </c>
      <c r="M90" t="s">
        <v>77</v>
      </c>
      <c r="N90" t="s">
        <v>52</v>
      </c>
      <c r="O90" t="s">
        <v>1361</v>
      </c>
      <c r="P90" t="s">
        <v>1362</v>
      </c>
      <c r="Q90" t="s">
        <v>1363</v>
      </c>
      <c r="R90" t="s">
        <v>74</v>
      </c>
      <c r="S90" t="s">
        <v>74</v>
      </c>
      <c r="T90" t="s">
        <v>74</v>
      </c>
      <c r="U90" t="s">
        <v>74</v>
      </c>
      <c r="V90" t="s">
        <v>74</v>
      </c>
      <c r="W90" t="s">
        <v>1364</v>
      </c>
      <c r="X90" t="s">
        <v>1365</v>
      </c>
      <c r="Y90" t="s">
        <v>74</v>
      </c>
      <c r="Z90" t="s">
        <v>74</v>
      </c>
      <c r="AA90" t="s">
        <v>74</v>
      </c>
      <c r="AB90" t="s">
        <v>74</v>
      </c>
      <c r="AC90" t="s">
        <v>74</v>
      </c>
      <c r="AD90" t="s">
        <v>74</v>
      </c>
      <c r="AE90" t="s">
        <v>74</v>
      </c>
      <c r="AF90" t="s">
        <v>74</v>
      </c>
      <c r="AG90">
        <v>0</v>
      </c>
      <c r="AH90">
        <v>0</v>
      </c>
      <c r="AI90">
        <v>0</v>
      </c>
      <c r="AJ90">
        <v>0</v>
      </c>
      <c r="AK90">
        <v>0</v>
      </c>
      <c r="AL90" t="s">
        <v>1366</v>
      </c>
      <c r="AM90" t="s">
        <v>1367</v>
      </c>
      <c r="AN90" t="s">
        <v>1368</v>
      </c>
      <c r="AO90" t="s">
        <v>74</v>
      </c>
      <c r="AP90" t="s">
        <v>74</v>
      </c>
      <c r="AQ90" t="s">
        <v>74</v>
      </c>
      <c r="AR90" t="s">
        <v>1369</v>
      </c>
      <c r="AS90" t="s">
        <v>74</v>
      </c>
      <c r="AT90" t="s">
        <v>74</v>
      </c>
      <c r="AU90">
        <v>2001</v>
      </c>
      <c r="AV90" t="s">
        <v>74</v>
      </c>
      <c r="AW90" t="s">
        <v>74</v>
      </c>
      <c r="AX90" t="s">
        <v>74</v>
      </c>
      <c r="AY90" t="s">
        <v>74</v>
      </c>
      <c r="AZ90" t="s">
        <v>74</v>
      </c>
      <c r="BA90" t="s">
        <v>74</v>
      </c>
      <c r="BB90">
        <v>49</v>
      </c>
      <c r="BC90">
        <v>49</v>
      </c>
      <c r="BD90" t="s">
        <v>74</v>
      </c>
      <c r="BE90" t="s">
        <v>74</v>
      </c>
      <c r="BF90" t="s">
        <v>74</v>
      </c>
      <c r="BG90" t="s">
        <v>74</v>
      </c>
      <c r="BH90" t="s">
        <v>74</v>
      </c>
      <c r="BI90">
        <v>1</v>
      </c>
      <c r="BJ90" t="s">
        <v>1370</v>
      </c>
      <c r="BK90" t="s">
        <v>1371</v>
      </c>
      <c r="BL90" t="s">
        <v>1372</v>
      </c>
      <c r="BM90" t="s">
        <v>1373</v>
      </c>
      <c r="BN90" t="s">
        <v>74</v>
      </c>
      <c r="BO90" t="s">
        <v>74</v>
      </c>
      <c r="BP90" t="s">
        <v>74</v>
      </c>
      <c r="BQ90" t="s">
        <v>74</v>
      </c>
      <c r="BR90" t="s">
        <v>97</v>
      </c>
      <c r="BS90" t="s">
        <v>1374</v>
      </c>
      <c r="BT90" t="str">
        <f>HYPERLINK("https%3A%2F%2Fwww.webofscience.com%2Fwos%2Fwoscc%2Ffull-record%2FWOS:000169088200008","View Full Record in Web of Science")</f>
        <v>View Full Record in Web of Science</v>
      </c>
    </row>
    <row r="91" spans="1:72" x14ac:dyDescent="0.15">
      <c r="A91" t="s">
        <v>72</v>
      </c>
      <c r="B91" t="s">
        <v>1375</v>
      </c>
      <c r="C91" t="s">
        <v>74</v>
      </c>
      <c r="D91" t="s">
        <v>74</v>
      </c>
      <c r="E91" t="s">
        <v>74</v>
      </c>
      <c r="F91" t="s">
        <v>1375</v>
      </c>
      <c r="G91" t="s">
        <v>74</v>
      </c>
      <c r="H91" t="s">
        <v>74</v>
      </c>
      <c r="I91" t="s">
        <v>1376</v>
      </c>
      <c r="J91" t="s">
        <v>1377</v>
      </c>
      <c r="K91" t="s">
        <v>74</v>
      </c>
      <c r="L91" t="s">
        <v>74</v>
      </c>
      <c r="M91" t="s">
        <v>77</v>
      </c>
      <c r="N91" t="s">
        <v>78</v>
      </c>
      <c r="O91" t="s">
        <v>74</v>
      </c>
      <c r="P91" t="s">
        <v>74</v>
      </c>
      <c r="Q91" t="s">
        <v>74</v>
      </c>
      <c r="R91" t="s">
        <v>74</v>
      </c>
      <c r="S91" t="s">
        <v>74</v>
      </c>
      <c r="T91" t="s">
        <v>74</v>
      </c>
      <c r="U91" t="s">
        <v>1378</v>
      </c>
      <c r="V91" t="s">
        <v>1379</v>
      </c>
      <c r="W91" t="s">
        <v>1380</v>
      </c>
      <c r="X91" t="s">
        <v>1381</v>
      </c>
      <c r="Y91" t="s">
        <v>1382</v>
      </c>
      <c r="Z91" t="s">
        <v>74</v>
      </c>
      <c r="AA91" t="s">
        <v>74</v>
      </c>
      <c r="AB91" t="s">
        <v>74</v>
      </c>
      <c r="AC91" t="s">
        <v>74</v>
      </c>
      <c r="AD91" t="s">
        <v>74</v>
      </c>
      <c r="AE91" t="s">
        <v>74</v>
      </c>
      <c r="AF91" t="s">
        <v>74</v>
      </c>
      <c r="AG91">
        <v>28</v>
      </c>
      <c r="AH91">
        <v>14</v>
      </c>
      <c r="AI91">
        <v>15</v>
      </c>
      <c r="AJ91">
        <v>0</v>
      </c>
      <c r="AK91">
        <v>6</v>
      </c>
      <c r="AL91" t="s">
        <v>1383</v>
      </c>
      <c r="AM91" t="s">
        <v>1384</v>
      </c>
      <c r="AN91" t="s">
        <v>1385</v>
      </c>
      <c r="AO91" t="s">
        <v>1386</v>
      </c>
      <c r="AP91" t="s">
        <v>74</v>
      </c>
      <c r="AQ91" t="s">
        <v>74</v>
      </c>
      <c r="AR91" t="s">
        <v>1377</v>
      </c>
      <c r="AS91" t="s">
        <v>1387</v>
      </c>
      <c r="AT91" t="s">
        <v>91</v>
      </c>
      <c r="AU91">
        <v>2001</v>
      </c>
      <c r="AV91">
        <v>143</v>
      </c>
      <c r="AW91">
        <v>1</v>
      </c>
      <c r="AX91" t="s">
        <v>74</v>
      </c>
      <c r="AY91" t="s">
        <v>74</v>
      </c>
      <c r="AZ91" t="s">
        <v>74</v>
      </c>
      <c r="BA91" t="s">
        <v>74</v>
      </c>
      <c r="BB91">
        <v>51</v>
      </c>
      <c r="BC91">
        <v>62</v>
      </c>
      <c r="BD91" t="s">
        <v>74</v>
      </c>
      <c r="BE91" t="s">
        <v>1388</v>
      </c>
      <c r="BF91" t="str">
        <f>HYPERLINK("http://dx.doi.org/10.1111/j.1474-919X.2001.tb04169.x","http://dx.doi.org/10.1111/j.1474-919X.2001.tb04169.x")</f>
        <v>http://dx.doi.org/10.1111/j.1474-919X.2001.tb04169.x</v>
      </c>
      <c r="BG91" t="s">
        <v>74</v>
      </c>
      <c r="BH91" t="s">
        <v>74</v>
      </c>
      <c r="BI91">
        <v>12</v>
      </c>
      <c r="BJ91" t="s">
        <v>675</v>
      </c>
      <c r="BK91" t="s">
        <v>94</v>
      </c>
      <c r="BL91" t="s">
        <v>206</v>
      </c>
      <c r="BM91" t="s">
        <v>1389</v>
      </c>
      <c r="BN91" t="s">
        <v>74</v>
      </c>
      <c r="BO91" t="s">
        <v>74</v>
      </c>
      <c r="BP91" t="s">
        <v>74</v>
      </c>
      <c r="BQ91" t="s">
        <v>74</v>
      </c>
      <c r="BR91" t="s">
        <v>97</v>
      </c>
      <c r="BS91" t="s">
        <v>1390</v>
      </c>
      <c r="BT91" t="str">
        <f>HYPERLINK("https%3A%2F%2Fwww.webofscience.com%2Fwos%2Fwoscc%2Ffull-record%2FWOS:000166159100007","View Full Record in Web of Science")</f>
        <v>View Full Record in Web of Science</v>
      </c>
    </row>
    <row r="92" spans="1:72" x14ac:dyDescent="0.15">
      <c r="A92" t="s">
        <v>209</v>
      </c>
      <c r="B92" t="s">
        <v>1391</v>
      </c>
      <c r="C92" t="s">
        <v>74</v>
      </c>
      <c r="D92" t="s">
        <v>74</v>
      </c>
      <c r="E92" t="s">
        <v>1392</v>
      </c>
      <c r="F92" t="s">
        <v>1391</v>
      </c>
      <c r="G92" t="s">
        <v>74</v>
      </c>
      <c r="H92" t="s">
        <v>74</v>
      </c>
      <c r="I92" t="s">
        <v>1393</v>
      </c>
      <c r="J92" t="s">
        <v>1394</v>
      </c>
      <c r="K92" t="s">
        <v>1395</v>
      </c>
      <c r="L92" t="s">
        <v>74</v>
      </c>
      <c r="M92" t="s">
        <v>77</v>
      </c>
      <c r="N92" t="s">
        <v>214</v>
      </c>
      <c r="O92" t="s">
        <v>1396</v>
      </c>
      <c r="P92" t="s">
        <v>1397</v>
      </c>
      <c r="Q92" t="s">
        <v>1398</v>
      </c>
      <c r="R92" t="s">
        <v>74</v>
      </c>
      <c r="S92" t="s">
        <v>1399</v>
      </c>
      <c r="T92" t="s">
        <v>74</v>
      </c>
      <c r="U92" t="s">
        <v>74</v>
      </c>
      <c r="V92" t="s">
        <v>1400</v>
      </c>
      <c r="W92" t="s">
        <v>1401</v>
      </c>
      <c r="X92" t="s">
        <v>1402</v>
      </c>
      <c r="Y92" t="s">
        <v>1403</v>
      </c>
      <c r="Z92" t="s">
        <v>74</v>
      </c>
      <c r="AA92" t="s">
        <v>1404</v>
      </c>
      <c r="AB92" t="s">
        <v>1405</v>
      </c>
      <c r="AC92" t="s">
        <v>74</v>
      </c>
      <c r="AD92" t="s">
        <v>74</v>
      </c>
      <c r="AE92" t="s">
        <v>74</v>
      </c>
      <c r="AF92" t="s">
        <v>74</v>
      </c>
      <c r="AG92">
        <v>4</v>
      </c>
      <c r="AH92">
        <v>0</v>
      </c>
      <c r="AI92">
        <v>1</v>
      </c>
      <c r="AJ92">
        <v>0</v>
      </c>
      <c r="AK92">
        <v>1</v>
      </c>
      <c r="AL92" t="s">
        <v>1406</v>
      </c>
      <c r="AM92" t="s">
        <v>160</v>
      </c>
      <c r="AN92" t="s">
        <v>1407</v>
      </c>
      <c r="AO92" t="s">
        <v>74</v>
      </c>
      <c r="AP92" t="s">
        <v>74</v>
      </c>
      <c r="AQ92" t="s">
        <v>1408</v>
      </c>
      <c r="AR92" t="s">
        <v>1409</v>
      </c>
      <c r="AS92" t="s">
        <v>74</v>
      </c>
      <c r="AT92" t="s">
        <v>74</v>
      </c>
      <c r="AU92">
        <v>2001</v>
      </c>
      <c r="AV92" t="s">
        <v>74</v>
      </c>
      <c r="AW92" t="s">
        <v>74</v>
      </c>
      <c r="AX92" t="s">
        <v>74</v>
      </c>
      <c r="AY92" t="s">
        <v>74</v>
      </c>
      <c r="AZ92" t="s">
        <v>74</v>
      </c>
      <c r="BA92" t="s">
        <v>74</v>
      </c>
      <c r="BB92">
        <v>157</v>
      </c>
      <c r="BC92">
        <v>159</v>
      </c>
      <c r="BD92" t="s">
        <v>74</v>
      </c>
      <c r="BE92" t="s">
        <v>74</v>
      </c>
      <c r="BF92" t="s">
        <v>74</v>
      </c>
      <c r="BG92" t="s">
        <v>74</v>
      </c>
      <c r="BH92" t="s">
        <v>74</v>
      </c>
      <c r="BI92">
        <v>3</v>
      </c>
      <c r="BJ92" t="s">
        <v>1410</v>
      </c>
      <c r="BK92" t="s">
        <v>229</v>
      </c>
      <c r="BL92" t="s">
        <v>1411</v>
      </c>
      <c r="BM92" t="s">
        <v>1412</v>
      </c>
      <c r="BN92" t="s">
        <v>74</v>
      </c>
      <c r="BO92" t="s">
        <v>74</v>
      </c>
      <c r="BP92" t="s">
        <v>74</v>
      </c>
      <c r="BQ92" t="s">
        <v>74</v>
      </c>
      <c r="BR92" t="s">
        <v>97</v>
      </c>
      <c r="BS92" t="s">
        <v>1413</v>
      </c>
      <c r="BT92" t="str">
        <f>HYPERLINK("https%3A%2F%2Fwww.webofscience.com%2Fwos%2Fwoscc%2Ffull-record%2FWOS:000177297200050","View Full Record in Web of Science")</f>
        <v>View Full Record in Web of Science</v>
      </c>
    </row>
    <row r="93" spans="1:72" x14ac:dyDescent="0.15">
      <c r="A93" t="s">
        <v>209</v>
      </c>
      <c r="B93" t="s">
        <v>1414</v>
      </c>
      <c r="C93" t="s">
        <v>74</v>
      </c>
      <c r="D93" t="s">
        <v>74</v>
      </c>
      <c r="E93" t="s">
        <v>1392</v>
      </c>
      <c r="F93" t="s">
        <v>1414</v>
      </c>
      <c r="G93" t="s">
        <v>74</v>
      </c>
      <c r="H93" t="s">
        <v>74</v>
      </c>
      <c r="I93" t="s">
        <v>1415</v>
      </c>
      <c r="J93" t="s">
        <v>1394</v>
      </c>
      <c r="K93" t="s">
        <v>1395</v>
      </c>
      <c r="L93" t="s">
        <v>74</v>
      </c>
      <c r="M93" t="s">
        <v>77</v>
      </c>
      <c r="N93" t="s">
        <v>214</v>
      </c>
      <c r="O93" t="s">
        <v>1396</v>
      </c>
      <c r="P93" t="s">
        <v>1397</v>
      </c>
      <c r="Q93" t="s">
        <v>1398</v>
      </c>
      <c r="R93" t="s">
        <v>74</v>
      </c>
      <c r="S93" t="s">
        <v>1399</v>
      </c>
      <c r="T93" t="s">
        <v>74</v>
      </c>
      <c r="U93" t="s">
        <v>74</v>
      </c>
      <c r="V93" t="s">
        <v>1416</v>
      </c>
      <c r="W93" t="s">
        <v>1417</v>
      </c>
      <c r="X93" t="s">
        <v>1224</v>
      </c>
      <c r="Y93" t="s">
        <v>1418</v>
      </c>
      <c r="Z93" t="s">
        <v>74</v>
      </c>
      <c r="AA93" t="s">
        <v>1419</v>
      </c>
      <c r="AB93" t="s">
        <v>74</v>
      </c>
      <c r="AC93" t="s">
        <v>74</v>
      </c>
      <c r="AD93" t="s">
        <v>74</v>
      </c>
      <c r="AE93" t="s">
        <v>74</v>
      </c>
      <c r="AF93" t="s">
        <v>74</v>
      </c>
      <c r="AG93">
        <v>10</v>
      </c>
      <c r="AH93">
        <v>1</v>
      </c>
      <c r="AI93">
        <v>1</v>
      </c>
      <c r="AJ93">
        <v>1</v>
      </c>
      <c r="AK93">
        <v>2</v>
      </c>
      <c r="AL93" t="s">
        <v>1406</v>
      </c>
      <c r="AM93" t="s">
        <v>160</v>
      </c>
      <c r="AN93" t="s">
        <v>1407</v>
      </c>
      <c r="AO93" t="s">
        <v>74</v>
      </c>
      <c r="AP93" t="s">
        <v>74</v>
      </c>
      <c r="AQ93" t="s">
        <v>1408</v>
      </c>
      <c r="AR93" t="s">
        <v>1409</v>
      </c>
      <c r="AS93" t="s">
        <v>74</v>
      </c>
      <c r="AT93" t="s">
        <v>74</v>
      </c>
      <c r="AU93">
        <v>2001</v>
      </c>
      <c r="AV93" t="s">
        <v>74</v>
      </c>
      <c r="AW93" t="s">
        <v>74</v>
      </c>
      <c r="AX93" t="s">
        <v>74</v>
      </c>
      <c r="AY93" t="s">
        <v>74</v>
      </c>
      <c r="AZ93" t="s">
        <v>74</v>
      </c>
      <c r="BA93" t="s">
        <v>74</v>
      </c>
      <c r="BB93">
        <v>163</v>
      </c>
      <c r="BC93">
        <v>167</v>
      </c>
      <c r="BD93" t="s">
        <v>74</v>
      </c>
      <c r="BE93" t="s">
        <v>74</v>
      </c>
      <c r="BF93" t="s">
        <v>74</v>
      </c>
      <c r="BG93" t="s">
        <v>74</v>
      </c>
      <c r="BH93" t="s">
        <v>74</v>
      </c>
      <c r="BI93">
        <v>5</v>
      </c>
      <c r="BJ93" t="s">
        <v>1410</v>
      </c>
      <c r="BK93" t="s">
        <v>229</v>
      </c>
      <c r="BL93" t="s">
        <v>1411</v>
      </c>
      <c r="BM93" t="s">
        <v>1412</v>
      </c>
      <c r="BN93" t="s">
        <v>74</v>
      </c>
      <c r="BO93" t="s">
        <v>74</v>
      </c>
      <c r="BP93" t="s">
        <v>74</v>
      </c>
      <c r="BQ93" t="s">
        <v>74</v>
      </c>
      <c r="BR93" t="s">
        <v>97</v>
      </c>
      <c r="BS93" t="s">
        <v>1420</v>
      </c>
      <c r="BT93" t="str">
        <f>HYPERLINK("https%3A%2F%2Fwww.webofscience.com%2Fwos%2Fwoscc%2Ffull-record%2FWOS:000177297200052","View Full Record in Web of Science")</f>
        <v>View Full Record in Web of Science</v>
      </c>
    </row>
    <row r="94" spans="1:72" x14ac:dyDescent="0.15">
      <c r="A94" t="s">
        <v>209</v>
      </c>
      <c r="B94" t="s">
        <v>1421</v>
      </c>
      <c r="C94" t="s">
        <v>74</v>
      </c>
      <c r="D94" t="s">
        <v>74</v>
      </c>
      <c r="E94" t="s">
        <v>1392</v>
      </c>
      <c r="F94" t="s">
        <v>1421</v>
      </c>
      <c r="G94" t="s">
        <v>74</v>
      </c>
      <c r="H94" t="s">
        <v>74</v>
      </c>
      <c r="I94" t="s">
        <v>1422</v>
      </c>
      <c r="J94" t="s">
        <v>1394</v>
      </c>
      <c r="K94" t="s">
        <v>1395</v>
      </c>
      <c r="L94" t="s">
        <v>74</v>
      </c>
      <c r="M94" t="s">
        <v>77</v>
      </c>
      <c r="N94" t="s">
        <v>214</v>
      </c>
      <c r="O94" t="s">
        <v>1396</v>
      </c>
      <c r="P94" t="s">
        <v>1397</v>
      </c>
      <c r="Q94" t="s">
        <v>1398</v>
      </c>
      <c r="R94" t="s">
        <v>74</v>
      </c>
      <c r="S94" t="s">
        <v>1399</v>
      </c>
      <c r="T94" t="s">
        <v>74</v>
      </c>
      <c r="U94" t="s">
        <v>74</v>
      </c>
      <c r="V94" t="s">
        <v>1423</v>
      </c>
      <c r="W94" t="s">
        <v>1424</v>
      </c>
      <c r="X94" t="s">
        <v>74</v>
      </c>
      <c r="Y94" t="s">
        <v>1425</v>
      </c>
      <c r="Z94" t="s">
        <v>74</v>
      </c>
      <c r="AA94" t="s">
        <v>74</v>
      </c>
      <c r="AB94" t="s">
        <v>1426</v>
      </c>
      <c r="AC94" t="s">
        <v>74</v>
      </c>
      <c r="AD94" t="s">
        <v>74</v>
      </c>
      <c r="AE94" t="s">
        <v>74</v>
      </c>
      <c r="AF94" t="s">
        <v>74</v>
      </c>
      <c r="AG94">
        <v>12</v>
      </c>
      <c r="AH94">
        <v>0</v>
      </c>
      <c r="AI94">
        <v>0</v>
      </c>
      <c r="AJ94">
        <v>0</v>
      </c>
      <c r="AK94">
        <v>1</v>
      </c>
      <c r="AL94" t="s">
        <v>1406</v>
      </c>
      <c r="AM94" t="s">
        <v>160</v>
      </c>
      <c r="AN94" t="s">
        <v>1407</v>
      </c>
      <c r="AO94" t="s">
        <v>74</v>
      </c>
      <c r="AP94" t="s">
        <v>74</v>
      </c>
      <c r="AQ94" t="s">
        <v>1408</v>
      </c>
      <c r="AR94" t="s">
        <v>1409</v>
      </c>
      <c r="AS94" t="s">
        <v>74</v>
      </c>
      <c r="AT94" t="s">
        <v>74</v>
      </c>
      <c r="AU94">
        <v>2001</v>
      </c>
      <c r="AV94" t="s">
        <v>74</v>
      </c>
      <c r="AW94" t="s">
        <v>74</v>
      </c>
      <c r="AX94" t="s">
        <v>74</v>
      </c>
      <c r="AY94" t="s">
        <v>74</v>
      </c>
      <c r="AZ94" t="s">
        <v>74</v>
      </c>
      <c r="BA94" t="s">
        <v>74</v>
      </c>
      <c r="BB94">
        <v>168</v>
      </c>
      <c r="BC94">
        <v>170</v>
      </c>
      <c r="BD94" t="s">
        <v>74</v>
      </c>
      <c r="BE94" t="s">
        <v>74</v>
      </c>
      <c r="BF94" t="s">
        <v>74</v>
      </c>
      <c r="BG94" t="s">
        <v>74</v>
      </c>
      <c r="BH94" t="s">
        <v>74</v>
      </c>
      <c r="BI94">
        <v>3</v>
      </c>
      <c r="BJ94" t="s">
        <v>1410</v>
      </c>
      <c r="BK94" t="s">
        <v>229</v>
      </c>
      <c r="BL94" t="s">
        <v>1411</v>
      </c>
      <c r="BM94" t="s">
        <v>1412</v>
      </c>
      <c r="BN94" t="s">
        <v>74</v>
      </c>
      <c r="BO94" t="s">
        <v>74</v>
      </c>
      <c r="BP94" t="s">
        <v>74</v>
      </c>
      <c r="BQ94" t="s">
        <v>74</v>
      </c>
      <c r="BR94" t="s">
        <v>97</v>
      </c>
      <c r="BS94" t="s">
        <v>1427</v>
      </c>
      <c r="BT94" t="str">
        <f>HYPERLINK("https%3A%2F%2Fwww.webofscience.com%2Fwos%2Fwoscc%2Ffull-record%2FWOS:000177297200053","View Full Record in Web of Science")</f>
        <v>View Full Record in Web of Science</v>
      </c>
    </row>
    <row r="95" spans="1:72" x14ac:dyDescent="0.15">
      <c r="A95" t="s">
        <v>209</v>
      </c>
      <c r="B95" t="s">
        <v>1428</v>
      </c>
      <c r="C95" t="s">
        <v>74</v>
      </c>
      <c r="D95" t="s">
        <v>74</v>
      </c>
      <c r="E95" t="s">
        <v>1392</v>
      </c>
      <c r="F95" t="s">
        <v>1428</v>
      </c>
      <c r="G95" t="s">
        <v>74</v>
      </c>
      <c r="H95" t="s">
        <v>74</v>
      </c>
      <c r="I95" t="s">
        <v>1429</v>
      </c>
      <c r="J95" t="s">
        <v>1394</v>
      </c>
      <c r="K95" t="s">
        <v>1395</v>
      </c>
      <c r="L95" t="s">
        <v>74</v>
      </c>
      <c r="M95" t="s">
        <v>77</v>
      </c>
      <c r="N95" t="s">
        <v>214</v>
      </c>
      <c r="O95" t="s">
        <v>1396</v>
      </c>
      <c r="P95" t="s">
        <v>1397</v>
      </c>
      <c r="Q95" t="s">
        <v>1398</v>
      </c>
      <c r="R95" t="s">
        <v>74</v>
      </c>
      <c r="S95" t="s">
        <v>1399</v>
      </c>
      <c r="T95" t="s">
        <v>74</v>
      </c>
      <c r="U95" t="s">
        <v>1430</v>
      </c>
      <c r="V95" t="s">
        <v>1431</v>
      </c>
      <c r="W95" t="s">
        <v>1432</v>
      </c>
      <c r="X95" t="s">
        <v>1433</v>
      </c>
      <c r="Y95" t="s">
        <v>1434</v>
      </c>
      <c r="Z95" t="s">
        <v>74</v>
      </c>
      <c r="AA95" t="s">
        <v>1435</v>
      </c>
      <c r="AB95" t="s">
        <v>1436</v>
      </c>
      <c r="AC95" t="s">
        <v>74</v>
      </c>
      <c r="AD95" t="s">
        <v>74</v>
      </c>
      <c r="AE95" t="s">
        <v>74</v>
      </c>
      <c r="AF95" t="s">
        <v>74</v>
      </c>
      <c r="AG95">
        <v>12</v>
      </c>
      <c r="AH95">
        <v>4</v>
      </c>
      <c r="AI95">
        <v>4</v>
      </c>
      <c r="AJ95">
        <v>0</v>
      </c>
      <c r="AK95">
        <v>0</v>
      </c>
      <c r="AL95" t="s">
        <v>1406</v>
      </c>
      <c r="AM95" t="s">
        <v>160</v>
      </c>
      <c r="AN95" t="s">
        <v>1407</v>
      </c>
      <c r="AO95" t="s">
        <v>74</v>
      </c>
      <c r="AP95" t="s">
        <v>74</v>
      </c>
      <c r="AQ95" t="s">
        <v>1408</v>
      </c>
      <c r="AR95" t="s">
        <v>1409</v>
      </c>
      <c r="AS95" t="s">
        <v>74</v>
      </c>
      <c r="AT95" t="s">
        <v>74</v>
      </c>
      <c r="AU95">
        <v>2001</v>
      </c>
      <c r="AV95" t="s">
        <v>74</v>
      </c>
      <c r="AW95" t="s">
        <v>74</v>
      </c>
      <c r="AX95" t="s">
        <v>74</v>
      </c>
      <c r="AY95" t="s">
        <v>74</v>
      </c>
      <c r="AZ95" t="s">
        <v>74</v>
      </c>
      <c r="BA95" t="s">
        <v>74</v>
      </c>
      <c r="BB95">
        <v>190</v>
      </c>
      <c r="BC95">
        <v>192</v>
      </c>
      <c r="BD95" t="s">
        <v>74</v>
      </c>
      <c r="BE95" t="s">
        <v>74</v>
      </c>
      <c r="BF95" t="s">
        <v>74</v>
      </c>
      <c r="BG95" t="s">
        <v>74</v>
      </c>
      <c r="BH95" t="s">
        <v>74</v>
      </c>
      <c r="BI95">
        <v>3</v>
      </c>
      <c r="BJ95" t="s">
        <v>1410</v>
      </c>
      <c r="BK95" t="s">
        <v>229</v>
      </c>
      <c r="BL95" t="s">
        <v>1411</v>
      </c>
      <c r="BM95" t="s">
        <v>1412</v>
      </c>
      <c r="BN95" t="s">
        <v>74</v>
      </c>
      <c r="BO95" t="s">
        <v>74</v>
      </c>
      <c r="BP95" t="s">
        <v>74</v>
      </c>
      <c r="BQ95" t="s">
        <v>74</v>
      </c>
      <c r="BR95" t="s">
        <v>97</v>
      </c>
      <c r="BS95" t="s">
        <v>1437</v>
      </c>
      <c r="BT95" t="str">
        <f>HYPERLINK("https%3A%2F%2Fwww.webofscience.com%2Fwos%2Fwoscc%2Ffull-record%2FWOS:000177297200060","View Full Record in Web of Science")</f>
        <v>View Full Record in Web of Science</v>
      </c>
    </row>
    <row r="96" spans="1:72" x14ac:dyDescent="0.15">
      <c r="A96" t="s">
        <v>209</v>
      </c>
      <c r="B96" t="s">
        <v>1438</v>
      </c>
      <c r="C96" t="s">
        <v>74</v>
      </c>
      <c r="D96" t="s">
        <v>74</v>
      </c>
      <c r="E96" t="s">
        <v>1392</v>
      </c>
      <c r="F96" t="s">
        <v>1438</v>
      </c>
      <c r="G96" t="s">
        <v>74</v>
      </c>
      <c r="H96" t="s">
        <v>74</v>
      </c>
      <c r="I96" t="s">
        <v>1439</v>
      </c>
      <c r="J96" t="s">
        <v>1394</v>
      </c>
      <c r="K96" t="s">
        <v>1395</v>
      </c>
      <c r="L96" t="s">
        <v>74</v>
      </c>
      <c r="M96" t="s">
        <v>77</v>
      </c>
      <c r="N96" t="s">
        <v>214</v>
      </c>
      <c r="O96" t="s">
        <v>1396</v>
      </c>
      <c r="P96" t="s">
        <v>1397</v>
      </c>
      <c r="Q96" t="s">
        <v>1398</v>
      </c>
      <c r="R96" t="s">
        <v>74</v>
      </c>
      <c r="S96" t="s">
        <v>1399</v>
      </c>
      <c r="T96" t="s">
        <v>74</v>
      </c>
      <c r="U96" t="s">
        <v>74</v>
      </c>
      <c r="V96" t="s">
        <v>1440</v>
      </c>
      <c r="W96" t="s">
        <v>1441</v>
      </c>
      <c r="X96" t="s">
        <v>1442</v>
      </c>
      <c r="Y96" t="s">
        <v>1443</v>
      </c>
      <c r="Z96" t="s">
        <v>74</v>
      </c>
      <c r="AA96" t="s">
        <v>1444</v>
      </c>
      <c r="AB96" t="s">
        <v>1445</v>
      </c>
      <c r="AC96" t="s">
        <v>74</v>
      </c>
      <c r="AD96" t="s">
        <v>74</v>
      </c>
      <c r="AE96" t="s">
        <v>74</v>
      </c>
      <c r="AF96" t="s">
        <v>74</v>
      </c>
      <c r="AG96">
        <v>2</v>
      </c>
      <c r="AH96">
        <v>0</v>
      </c>
      <c r="AI96">
        <v>0</v>
      </c>
      <c r="AJ96">
        <v>0</v>
      </c>
      <c r="AK96">
        <v>0</v>
      </c>
      <c r="AL96" t="s">
        <v>1406</v>
      </c>
      <c r="AM96" t="s">
        <v>160</v>
      </c>
      <c r="AN96" t="s">
        <v>1407</v>
      </c>
      <c r="AO96" t="s">
        <v>74</v>
      </c>
      <c r="AP96" t="s">
        <v>74</v>
      </c>
      <c r="AQ96" t="s">
        <v>1408</v>
      </c>
      <c r="AR96" t="s">
        <v>1409</v>
      </c>
      <c r="AS96" t="s">
        <v>74</v>
      </c>
      <c r="AT96" t="s">
        <v>74</v>
      </c>
      <c r="AU96">
        <v>2001</v>
      </c>
      <c r="AV96" t="s">
        <v>74</v>
      </c>
      <c r="AW96" t="s">
        <v>74</v>
      </c>
      <c r="AX96" t="s">
        <v>74</v>
      </c>
      <c r="AY96" t="s">
        <v>74</v>
      </c>
      <c r="AZ96" t="s">
        <v>74</v>
      </c>
      <c r="BA96" t="s">
        <v>74</v>
      </c>
      <c r="BB96">
        <v>249</v>
      </c>
      <c r="BC96">
        <v>251</v>
      </c>
      <c r="BD96" t="s">
        <v>74</v>
      </c>
      <c r="BE96" t="s">
        <v>74</v>
      </c>
      <c r="BF96" t="s">
        <v>74</v>
      </c>
      <c r="BG96" t="s">
        <v>74</v>
      </c>
      <c r="BH96" t="s">
        <v>74</v>
      </c>
      <c r="BI96">
        <v>3</v>
      </c>
      <c r="BJ96" t="s">
        <v>1410</v>
      </c>
      <c r="BK96" t="s">
        <v>229</v>
      </c>
      <c r="BL96" t="s">
        <v>1411</v>
      </c>
      <c r="BM96" t="s">
        <v>1412</v>
      </c>
      <c r="BN96" t="s">
        <v>74</v>
      </c>
      <c r="BO96" t="s">
        <v>74</v>
      </c>
      <c r="BP96" t="s">
        <v>74</v>
      </c>
      <c r="BQ96" t="s">
        <v>74</v>
      </c>
      <c r="BR96" t="s">
        <v>97</v>
      </c>
      <c r="BS96" t="s">
        <v>1446</v>
      </c>
      <c r="BT96" t="str">
        <f>HYPERLINK("https%3A%2F%2Fwww.webofscience.com%2Fwos%2Fwoscc%2Ffull-record%2FWOS:000177297200079","View Full Record in Web of Science")</f>
        <v>View Full Record in Web of Science</v>
      </c>
    </row>
    <row r="97" spans="1:72" x14ac:dyDescent="0.15">
      <c r="A97" t="s">
        <v>209</v>
      </c>
      <c r="B97" t="s">
        <v>1447</v>
      </c>
      <c r="C97" t="s">
        <v>74</v>
      </c>
      <c r="D97" t="s">
        <v>74</v>
      </c>
      <c r="E97" t="s">
        <v>1392</v>
      </c>
      <c r="F97" t="s">
        <v>1447</v>
      </c>
      <c r="G97" t="s">
        <v>74</v>
      </c>
      <c r="H97" t="s">
        <v>74</v>
      </c>
      <c r="I97" t="s">
        <v>1448</v>
      </c>
      <c r="J97" t="s">
        <v>1394</v>
      </c>
      <c r="K97" t="s">
        <v>1395</v>
      </c>
      <c r="L97" t="s">
        <v>74</v>
      </c>
      <c r="M97" t="s">
        <v>77</v>
      </c>
      <c r="N97" t="s">
        <v>214</v>
      </c>
      <c r="O97" t="s">
        <v>1396</v>
      </c>
      <c r="P97" t="s">
        <v>1397</v>
      </c>
      <c r="Q97" t="s">
        <v>1398</v>
      </c>
      <c r="R97" t="s">
        <v>74</v>
      </c>
      <c r="S97" t="s">
        <v>1399</v>
      </c>
      <c r="T97" t="s">
        <v>74</v>
      </c>
      <c r="U97" t="s">
        <v>74</v>
      </c>
      <c r="V97" t="s">
        <v>1449</v>
      </c>
      <c r="W97" t="s">
        <v>1450</v>
      </c>
      <c r="X97" t="s">
        <v>1451</v>
      </c>
      <c r="Y97" t="s">
        <v>1452</v>
      </c>
      <c r="Z97" t="s">
        <v>74</v>
      </c>
      <c r="AA97" t="s">
        <v>74</v>
      </c>
      <c r="AB97" t="s">
        <v>74</v>
      </c>
      <c r="AC97" t="s">
        <v>74</v>
      </c>
      <c r="AD97" t="s">
        <v>74</v>
      </c>
      <c r="AE97" t="s">
        <v>74</v>
      </c>
      <c r="AF97" t="s">
        <v>74</v>
      </c>
      <c r="AG97">
        <v>5</v>
      </c>
      <c r="AH97">
        <v>0</v>
      </c>
      <c r="AI97">
        <v>0</v>
      </c>
      <c r="AJ97">
        <v>0</v>
      </c>
      <c r="AK97">
        <v>0</v>
      </c>
      <c r="AL97" t="s">
        <v>1406</v>
      </c>
      <c r="AM97" t="s">
        <v>160</v>
      </c>
      <c r="AN97" t="s">
        <v>1407</v>
      </c>
      <c r="AO97" t="s">
        <v>74</v>
      </c>
      <c r="AP97" t="s">
        <v>74</v>
      </c>
      <c r="AQ97" t="s">
        <v>1408</v>
      </c>
      <c r="AR97" t="s">
        <v>1409</v>
      </c>
      <c r="AS97" t="s">
        <v>74</v>
      </c>
      <c r="AT97" t="s">
        <v>74</v>
      </c>
      <c r="AU97">
        <v>2001</v>
      </c>
      <c r="AV97" t="s">
        <v>74</v>
      </c>
      <c r="AW97" t="s">
        <v>74</v>
      </c>
      <c r="AX97" t="s">
        <v>74</v>
      </c>
      <c r="AY97" t="s">
        <v>74</v>
      </c>
      <c r="AZ97" t="s">
        <v>74</v>
      </c>
      <c r="BA97" t="s">
        <v>74</v>
      </c>
      <c r="BB97">
        <v>465</v>
      </c>
      <c r="BC97">
        <v>467</v>
      </c>
      <c r="BD97" t="s">
        <v>74</v>
      </c>
      <c r="BE97" t="s">
        <v>74</v>
      </c>
      <c r="BF97" t="s">
        <v>74</v>
      </c>
      <c r="BG97" t="s">
        <v>74</v>
      </c>
      <c r="BH97" t="s">
        <v>74</v>
      </c>
      <c r="BI97">
        <v>3</v>
      </c>
      <c r="BJ97" t="s">
        <v>1410</v>
      </c>
      <c r="BK97" t="s">
        <v>229</v>
      </c>
      <c r="BL97" t="s">
        <v>1411</v>
      </c>
      <c r="BM97" t="s">
        <v>1412</v>
      </c>
      <c r="BN97" t="s">
        <v>74</v>
      </c>
      <c r="BO97" t="s">
        <v>74</v>
      </c>
      <c r="BP97" t="s">
        <v>74</v>
      </c>
      <c r="BQ97" t="s">
        <v>74</v>
      </c>
      <c r="BR97" t="s">
        <v>97</v>
      </c>
      <c r="BS97" t="s">
        <v>1453</v>
      </c>
      <c r="BT97" t="str">
        <f>HYPERLINK("https%3A%2F%2Fwww.webofscience.com%2Fwos%2Fwoscc%2Ffull-record%2FWOS:000177297200150","View Full Record in Web of Science")</f>
        <v>View Full Record in Web of Science</v>
      </c>
    </row>
    <row r="98" spans="1:72" x14ac:dyDescent="0.15">
      <c r="A98" t="s">
        <v>209</v>
      </c>
      <c r="B98" t="s">
        <v>1454</v>
      </c>
      <c r="C98" t="s">
        <v>74</v>
      </c>
      <c r="D98" t="s">
        <v>74</v>
      </c>
      <c r="E98" t="s">
        <v>1392</v>
      </c>
      <c r="F98" t="s">
        <v>1454</v>
      </c>
      <c r="G98" t="s">
        <v>74</v>
      </c>
      <c r="H98" t="s">
        <v>74</v>
      </c>
      <c r="I98" t="s">
        <v>1455</v>
      </c>
      <c r="J98" t="s">
        <v>1394</v>
      </c>
      <c r="K98" t="s">
        <v>1395</v>
      </c>
      <c r="L98" t="s">
        <v>74</v>
      </c>
      <c r="M98" t="s">
        <v>77</v>
      </c>
      <c r="N98" t="s">
        <v>214</v>
      </c>
      <c r="O98" t="s">
        <v>1396</v>
      </c>
      <c r="P98" t="s">
        <v>1397</v>
      </c>
      <c r="Q98" t="s">
        <v>1398</v>
      </c>
      <c r="R98" t="s">
        <v>74</v>
      </c>
      <c r="S98" t="s">
        <v>1399</v>
      </c>
      <c r="T98" t="s">
        <v>74</v>
      </c>
      <c r="U98" t="s">
        <v>1456</v>
      </c>
      <c r="V98" t="s">
        <v>1457</v>
      </c>
      <c r="W98" t="s">
        <v>1458</v>
      </c>
      <c r="X98" t="s">
        <v>1459</v>
      </c>
      <c r="Y98" t="s">
        <v>1460</v>
      </c>
      <c r="Z98" t="s">
        <v>74</v>
      </c>
      <c r="AA98" t="s">
        <v>1461</v>
      </c>
      <c r="AB98" t="s">
        <v>1462</v>
      </c>
      <c r="AC98" t="s">
        <v>74</v>
      </c>
      <c r="AD98" t="s">
        <v>74</v>
      </c>
      <c r="AE98" t="s">
        <v>74</v>
      </c>
      <c r="AF98" t="s">
        <v>74</v>
      </c>
      <c r="AG98">
        <v>5</v>
      </c>
      <c r="AH98">
        <v>0</v>
      </c>
      <c r="AI98">
        <v>0</v>
      </c>
      <c r="AJ98">
        <v>0</v>
      </c>
      <c r="AK98">
        <v>0</v>
      </c>
      <c r="AL98" t="s">
        <v>1406</v>
      </c>
      <c r="AM98" t="s">
        <v>160</v>
      </c>
      <c r="AN98" t="s">
        <v>1407</v>
      </c>
      <c r="AO98" t="s">
        <v>74</v>
      </c>
      <c r="AP98" t="s">
        <v>74</v>
      </c>
      <c r="AQ98" t="s">
        <v>1408</v>
      </c>
      <c r="AR98" t="s">
        <v>1409</v>
      </c>
      <c r="AS98" t="s">
        <v>74</v>
      </c>
      <c r="AT98" t="s">
        <v>74</v>
      </c>
      <c r="AU98">
        <v>2001</v>
      </c>
      <c r="AV98" t="s">
        <v>74</v>
      </c>
      <c r="AW98" t="s">
        <v>74</v>
      </c>
      <c r="AX98" t="s">
        <v>74</v>
      </c>
      <c r="AY98" t="s">
        <v>74</v>
      </c>
      <c r="AZ98" t="s">
        <v>74</v>
      </c>
      <c r="BA98" t="s">
        <v>74</v>
      </c>
      <c r="BB98">
        <v>816</v>
      </c>
      <c r="BC98">
        <v>818</v>
      </c>
      <c r="BD98" t="s">
        <v>74</v>
      </c>
      <c r="BE98" t="s">
        <v>74</v>
      </c>
      <c r="BF98" t="s">
        <v>74</v>
      </c>
      <c r="BG98" t="s">
        <v>74</v>
      </c>
      <c r="BH98" t="s">
        <v>74</v>
      </c>
      <c r="BI98">
        <v>3</v>
      </c>
      <c r="BJ98" t="s">
        <v>1410</v>
      </c>
      <c r="BK98" t="s">
        <v>229</v>
      </c>
      <c r="BL98" t="s">
        <v>1411</v>
      </c>
      <c r="BM98" t="s">
        <v>1412</v>
      </c>
      <c r="BN98" t="s">
        <v>74</v>
      </c>
      <c r="BO98" t="s">
        <v>74</v>
      </c>
      <c r="BP98" t="s">
        <v>74</v>
      </c>
      <c r="BQ98" t="s">
        <v>74</v>
      </c>
      <c r="BR98" t="s">
        <v>97</v>
      </c>
      <c r="BS98" t="s">
        <v>1463</v>
      </c>
      <c r="BT98" t="str">
        <f>HYPERLINK("https%3A%2F%2Fwww.webofscience.com%2Fwos%2Fwoscc%2Ffull-record%2FWOS:000177297200254","View Full Record in Web of Science")</f>
        <v>View Full Record in Web of Science</v>
      </c>
    </row>
    <row r="99" spans="1:72" x14ac:dyDescent="0.15">
      <c r="A99" t="s">
        <v>209</v>
      </c>
      <c r="B99" t="s">
        <v>1464</v>
      </c>
      <c r="C99" t="s">
        <v>74</v>
      </c>
      <c r="D99" t="s">
        <v>74</v>
      </c>
      <c r="E99" t="s">
        <v>1392</v>
      </c>
      <c r="F99" t="s">
        <v>1464</v>
      </c>
      <c r="G99" t="s">
        <v>74</v>
      </c>
      <c r="H99" t="s">
        <v>74</v>
      </c>
      <c r="I99" t="s">
        <v>1465</v>
      </c>
      <c r="J99" t="s">
        <v>1394</v>
      </c>
      <c r="K99" t="s">
        <v>1395</v>
      </c>
      <c r="L99" t="s">
        <v>74</v>
      </c>
      <c r="M99" t="s">
        <v>77</v>
      </c>
      <c r="N99" t="s">
        <v>214</v>
      </c>
      <c r="O99" t="s">
        <v>1396</v>
      </c>
      <c r="P99" t="s">
        <v>1397</v>
      </c>
      <c r="Q99" t="s">
        <v>1398</v>
      </c>
      <c r="R99" t="s">
        <v>74</v>
      </c>
      <c r="S99" t="s">
        <v>1399</v>
      </c>
      <c r="T99" t="s">
        <v>74</v>
      </c>
      <c r="U99" t="s">
        <v>1466</v>
      </c>
      <c r="V99" t="s">
        <v>1467</v>
      </c>
      <c r="W99" t="s">
        <v>1468</v>
      </c>
      <c r="X99" t="s">
        <v>1469</v>
      </c>
      <c r="Y99" t="s">
        <v>1470</v>
      </c>
      <c r="Z99" t="s">
        <v>74</v>
      </c>
      <c r="AA99" t="s">
        <v>74</v>
      </c>
      <c r="AB99" t="s">
        <v>74</v>
      </c>
      <c r="AC99" t="s">
        <v>74</v>
      </c>
      <c r="AD99" t="s">
        <v>74</v>
      </c>
      <c r="AE99" t="s">
        <v>74</v>
      </c>
      <c r="AF99" t="s">
        <v>74</v>
      </c>
      <c r="AG99">
        <v>5</v>
      </c>
      <c r="AH99">
        <v>2</v>
      </c>
      <c r="AI99">
        <v>2</v>
      </c>
      <c r="AJ99">
        <v>0</v>
      </c>
      <c r="AK99">
        <v>1</v>
      </c>
      <c r="AL99" t="s">
        <v>1406</v>
      </c>
      <c r="AM99" t="s">
        <v>160</v>
      </c>
      <c r="AN99" t="s">
        <v>1407</v>
      </c>
      <c r="AO99" t="s">
        <v>74</v>
      </c>
      <c r="AP99" t="s">
        <v>74</v>
      </c>
      <c r="AQ99" t="s">
        <v>1408</v>
      </c>
      <c r="AR99" t="s">
        <v>1409</v>
      </c>
      <c r="AS99" t="s">
        <v>74</v>
      </c>
      <c r="AT99" t="s">
        <v>74</v>
      </c>
      <c r="AU99">
        <v>2001</v>
      </c>
      <c r="AV99" t="s">
        <v>74</v>
      </c>
      <c r="AW99" t="s">
        <v>74</v>
      </c>
      <c r="AX99" t="s">
        <v>74</v>
      </c>
      <c r="AY99" t="s">
        <v>74</v>
      </c>
      <c r="AZ99" t="s">
        <v>74</v>
      </c>
      <c r="BA99" t="s">
        <v>74</v>
      </c>
      <c r="BB99">
        <v>1782</v>
      </c>
      <c r="BC99">
        <v>1785</v>
      </c>
      <c r="BD99" t="s">
        <v>74</v>
      </c>
      <c r="BE99" t="s">
        <v>74</v>
      </c>
      <c r="BF99" t="s">
        <v>74</v>
      </c>
      <c r="BG99" t="s">
        <v>74</v>
      </c>
      <c r="BH99" t="s">
        <v>74</v>
      </c>
      <c r="BI99">
        <v>4</v>
      </c>
      <c r="BJ99" t="s">
        <v>1410</v>
      </c>
      <c r="BK99" t="s">
        <v>229</v>
      </c>
      <c r="BL99" t="s">
        <v>1411</v>
      </c>
      <c r="BM99" t="s">
        <v>1412</v>
      </c>
      <c r="BN99" t="s">
        <v>74</v>
      </c>
      <c r="BO99" t="s">
        <v>74</v>
      </c>
      <c r="BP99" t="s">
        <v>74</v>
      </c>
      <c r="BQ99" t="s">
        <v>74</v>
      </c>
      <c r="BR99" t="s">
        <v>97</v>
      </c>
      <c r="BS99" t="s">
        <v>1471</v>
      </c>
      <c r="BT99" t="str">
        <f>HYPERLINK("https%3A%2F%2Fwww.webofscience.com%2Fwos%2Fwoscc%2Ffull-record%2FWOS:000177297200569","View Full Record in Web of Science")</f>
        <v>View Full Record in Web of Science</v>
      </c>
    </row>
    <row r="100" spans="1:72" x14ac:dyDescent="0.15">
      <c r="A100" t="s">
        <v>209</v>
      </c>
      <c r="B100" t="s">
        <v>1472</v>
      </c>
      <c r="C100" t="s">
        <v>74</v>
      </c>
      <c r="D100" t="s">
        <v>74</v>
      </c>
      <c r="E100" t="s">
        <v>1392</v>
      </c>
      <c r="F100" t="s">
        <v>1472</v>
      </c>
      <c r="G100" t="s">
        <v>74</v>
      </c>
      <c r="H100" t="s">
        <v>74</v>
      </c>
      <c r="I100" t="s">
        <v>1473</v>
      </c>
      <c r="J100" t="s">
        <v>1394</v>
      </c>
      <c r="K100" t="s">
        <v>1395</v>
      </c>
      <c r="L100" t="s">
        <v>74</v>
      </c>
      <c r="M100" t="s">
        <v>77</v>
      </c>
      <c r="N100" t="s">
        <v>214</v>
      </c>
      <c r="O100" t="s">
        <v>1396</v>
      </c>
      <c r="P100" t="s">
        <v>1397</v>
      </c>
      <c r="Q100" t="s">
        <v>1398</v>
      </c>
      <c r="R100" t="s">
        <v>74</v>
      </c>
      <c r="S100" t="s">
        <v>1399</v>
      </c>
      <c r="T100" t="s">
        <v>74</v>
      </c>
      <c r="U100" t="s">
        <v>74</v>
      </c>
      <c r="V100" t="s">
        <v>1474</v>
      </c>
      <c r="W100" t="s">
        <v>1475</v>
      </c>
      <c r="X100" t="s">
        <v>1476</v>
      </c>
      <c r="Y100" t="s">
        <v>1477</v>
      </c>
      <c r="Z100" t="s">
        <v>74</v>
      </c>
      <c r="AA100" t="s">
        <v>74</v>
      </c>
      <c r="AB100" t="s">
        <v>74</v>
      </c>
      <c r="AC100" t="s">
        <v>74</v>
      </c>
      <c r="AD100" t="s">
        <v>74</v>
      </c>
      <c r="AE100" t="s">
        <v>74</v>
      </c>
      <c r="AF100" t="s">
        <v>74</v>
      </c>
      <c r="AG100">
        <v>2</v>
      </c>
      <c r="AH100">
        <v>2</v>
      </c>
      <c r="AI100">
        <v>2</v>
      </c>
      <c r="AJ100">
        <v>0</v>
      </c>
      <c r="AK100">
        <v>2</v>
      </c>
      <c r="AL100" t="s">
        <v>1406</v>
      </c>
      <c r="AM100" t="s">
        <v>160</v>
      </c>
      <c r="AN100" t="s">
        <v>1407</v>
      </c>
      <c r="AO100" t="s">
        <v>74</v>
      </c>
      <c r="AP100" t="s">
        <v>74</v>
      </c>
      <c r="AQ100" t="s">
        <v>1408</v>
      </c>
      <c r="AR100" t="s">
        <v>1409</v>
      </c>
      <c r="AS100" t="s">
        <v>74</v>
      </c>
      <c r="AT100" t="s">
        <v>74</v>
      </c>
      <c r="AU100">
        <v>2001</v>
      </c>
      <c r="AV100" t="s">
        <v>74</v>
      </c>
      <c r="AW100" t="s">
        <v>74</v>
      </c>
      <c r="AX100" t="s">
        <v>74</v>
      </c>
      <c r="AY100" t="s">
        <v>74</v>
      </c>
      <c r="AZ100" t="s">
        <v>74</v>
      </c>
      <c r="BA100" t="s">
        <v>74</v>
      </c>
      <c r="BB100">
        <v>2158</v>
      </c>
      <c r="BC100">
        <v>2160</v>
      </c>
      <c r="BD100" t="s">
        <v>74</v>
      </c>
      <c r="BE100" t="s">
        <v>74</v>
      </c>
      <c r="BF100" t="s">
        <v>74</v>
      </c>
      <c r="BG100" t="s">
        <v>74</v>
      </c>
      <c r="BH100" t="s">
        <v>74</v>
      </c>
      <c r="BI100">
        <v>3</v>
      </c>
      <c r="BJ100" t="s">
        <v>1410</v>
      </c>
      <c r="BK100" t="s">
        <v>229</v>
      </c>
      <c r="BL100" t="s">
        <v>1411</v>
      </c>
      <c r="BM100" t="s">
        <v>1412</v>
      </c>
      <c r="BN100" t="s">
        <v>74</v>
      </c>
      <c r="BO100" t="s">
        <v>74</v>
      </c>
      <c r="BP100" t="s">
        <v>74</v>
      </c>
      <c r="BQ100" t="s">
        <v>74</v>
      </c>
      <c r="BR100" t="s">
        <v>97</v>
      </c>
      <c r="BS100" t="s">
        <v>1478</v>
      </c>
      <c r="BT100" t="str">
        <f>HYPERLINK("https%3A%2F%2Fwww.webofscience.com%2Fwos%2Fwoscc%2Ffull-record%2FWOS:000177297200692","View Full Record in Web of Science")</f>
        <v>View Full Record in Web of Science</v>
      </c>
    </row>
    <row r="101" spans="1:72" x14ac:dyDescent="0.15">
      <c r="A101" t="s">
        <v>209</v>
      </c>
      <c r="B101" t="s">
        <v>1479</v>
      </c>
      <c r="C101" t="s">
        <v>74</v>
      </c>
      <c r="D101" t="s">
        <v>74</v>
      </c>
      <c r="E101" t="s">
        <v>1392</v>
      </c>
      <c r="F101" t="s">
        <v>1479</v>
      </c>
      <c r="G101" t="s">
        <v>74</v>
      </c>
      <c r="H101" t="s">
        <v>74</v>
      </c>
      <c r="I101" t="s">
        <v>1480</v>
      </c>
      <c r="J101" t="s">
        <v>1394</v>
      </c>
      <c r="K101" t="s">
        <v>1395</v>
      </c>
      <c r="L101" t="s">
        <v>74</v>
      </c>
      <c r="M101" t="s">
        <v>77</v>
      </c>
      <c r="N101" t="s">
        <v>214</v>
      </c>
      <c r="O101" t="s">
        <v>1396</v>
      </c>
      <c r="P101" t="s">
        <v>1397</v>
      </c>
      <c r="Q101" t="s">
        <v>1398</v>
      </c>
      <c r="R101" t="s">
        <v>74</v>
      </c>
      <c r="S101" t="s">
        <v>1399</v>
      </c>
      <c r="T101" t="s">
        <v>74</v>
      </c>
      <c r="U101" t="s">
        <v>74</v>
      </c>
      <c r="V101" t="s">
        <v>1481</v>
      </c>
      <c r="W101" t="s">
        <v>1424</v>
      </c>
      <c r="X101" t="s">
        <v>74</v>
      </c>
      <c r="Y101" t="s">
        <v>1482</v>
      </c>
      <c r="Z101" t="s">
        <v>74</v>
      </c>
      <c r="AA101" t="s">
        <v>1419</v>
      </c>
      <c r="AB101" t="s">
        <v>1483</v>
      </c>
      <c r="AC101" t="s">
        <v>74</v>
      </c>
      <c r="AD101" t="s">
        <v>74</v>
      </c>
      <c r="AE101" t="s">
        <v>74</v>
      </c>
      <c r="AF101" t="s">
        <v>74</v>
      </c>
      <c r="AG101">
        <v>7</v>
      </c>
      <c r="AH101">
        <v>0</v>
      </c>
      <c r="AI101">
        <v>0</v>
      </c>
      <c r="AJ101">
        <v>0</v>
      </c>
      <c r="AK101">
        <v>2</v>
      </c>
      <c r="AL101" t="s">
        <v>1406</v>
      </c>
      <c r="AM101" t="s">
        <v>160</v>
      </c>
      <c r="AN101" t="s">
        <v>1407</v>
      </c>
      <c r="AO101" t="s">
        <v>74</v>
      </c>
      <c r="AP101" t="s">
        <v>74</v>
      </c>
      <c r="AQ101" t="s">
        <v>1408</v>
      </c>
      <c r="AR101" t="s">
        <v>1409</v>
      </c>
      <c r="AS101" t="s">
        <v>74</v>
      </c>
      <c r="AT101" t="s">
        <v>74</v>
      </c>
      <c r="AU101">
        <v>2001</v>
      </c>
      <c r="AV101" t="s">
        <v>74</v>
      </c>
      <c r="AW101" t="s">
        <v>74</v>
      </c>
      <c r="AX101" t="s">
        <v>74</v>
      </c>
      <c r="AY101" t="s">
        <v>74</v>
      </c>
      <c r="AZ101" t="s">
        <v>74</v>
      </c>
      <c r="BA101" t="s">
        <v>74</v>
      </c>
      <c r="BB101">
        <v>2937</v>
      </c>
      <c r="BC101" t="s">
        <v>1484</v>
      </c>
      <c r="BD101" t="s">
        <v>74</v>
      </c>
      <c r="BE101" t="s">
        <v>74</v>
      </c>
      <c r="BF101" t="s">
        <v>74</v>
      </c>
      <c r="BG101" t="s">
        <v>74</v>
      </c>
      <c r="BH101" t="s">
        <v>74</v>
      </c>
      <c r="BI101">
        <v>3</v>
      </c>
      <c r="BJ101" t="s">
        <v>1410</v>
      </c>
      <c r="BK101" t="s">
        <v>229</v>
      </c>
      <c r="BL101" t="s">
        <v>1411</v>
      </c>
      <c r="BM101" t="s">
        <v>1412</v>
      </c>
      <c r="BN101" t="s">
        <v>74</v>
      </c>
      <c r="BO101" t="s">
        <v>74</v>
      </c>
      <c r="BP101" t="s">
        <v>74</v>
      </c>
      <c r="BQ101" t="s">
        <v>74</v>
      </c>
      <c r="BR101" t="s">
        <v>97</v>
      </c>
      <c r="BS101" t="s">
        <v>1485</v>
      </c>
      <c r="BT101" t="str">
        <f>HYPERLINK("https%3A%2F%2Fwww.webofscience.com%2Fwos%2Fwoscc%2Ffull-record%2FWOS:000177297200946","View Full Record in Web of Science")</f>
        <v>View Full Record in Web of Science</v>
      </c>
    </row>
    <row r="102" spans="1:72" x14ac:dyDescent="0.15">
      <c r="A102" t="s">
        <v>209</v>
      </c>
      <c r="B102" t="s">
        <v>1486</v>
      </c>
      <c r="C102" t="s">
        <v>74</v>
      </c>
      <c r="D102" t="s">
        <v>74</v>
      </c>
      <c r="E102" t="s">
        <v>1392</v>
      </c>
      <c r="F102" t="s">
        <v>1486</v>
      </c>
      <c r="G102" t="s">
        <v>74</v>
      </c>
      <c r="H102" t="s">
        <v>74</v>
      </c>
      <c r="I102" t="s">
        <v>1487</v>
      </c>
      <c r="J102" t="s">
        <v>1394</v>
      </c>
      <c r="K102" t="s">
        <v>1488</v>
      </c>
      <c r="L102" t="s">
        <v>74</v>
      </c>
      <c r="M102" t="s">
        <v>77</v>
      </c>
      <c r="N102" t="s">
        <v>214</v>
      </c>
      <c r="O102" t="s">
        <v>1396</v>
      </c>
      <c r="P102" t="s">
        <v>1397</v>
      </c>
      <c r="Q102" t="s">
        <v>1398</v>
      </c>
      <c r="R102" t="s">
        <v>74</v>
      </c>
      <c r="S102" t="s">
        <v>1399</v>
      </c>
      <c r="T102" t="s">
        <v>74</v>
      </c>
      <c r="U102" t="s">
        <v>74</v>
      </c>
      <c r="V102" t="s">
        <v>1489</v>
      </c>
      <c r="W102" t="s">
        <v>1490</v>
      </c>
      <c r="X102" t="s">
        <v>1491</v>
      </c>
      <c r="Y102" t="s">
        <v>1492</v>
      </c>
      <c r="Z102" t="s">
        <v>74</v>
      </c>
      <c r="AA102" t="s">
        <v>1493</v>
      </c>
      <c r="AB102" t="s">
        <v>1494</v>
      </c>
      <c r="AC102" t="s">
        <v>74</v>
      </c>
      <c r="AD102" t="s">
        <v>74</v>
      </c>
      <c r="AE102" t="s">
        <v>74</v>
      </c>
      <c r="AF102" t="s">
        <v>74</v>
      </c>
      <c r="AG102">
        <v>6</v>
      </c>
      <c r="AH102">
        <v>1</v>
      </c>
      <c r="AI102">
        <v>1</v>
      </c>
      <c r="AJ102">
        <v>0</v>
      </c>
      <c r="AK102">
        <v>2</v>
      </c>
      <c r="AL102" t="s">
        <v>1406</v>
      </c>
      <c r="AM102" t="s">
        <v>160</v>
      </c>
      <c r="AN102" t="s">
        <v>1407</v>
      </c>
      <c r="AO102" t="s">
        <v>1495</v>
      </c>
      <c r="AP102" t="s">
        <v>74</v>
      </c>
      <c r="AQ102" t="s">
        <v>1408</v>
      </c>
      <c r="AR102" t="s">
        <v>1409</v>
      </c>
      <c r="AS102" t="s">
        <v>74</v>
      </c>
      <c r="AT102" t="s">
        <v>74</v>
      </c>
      <c r="AU102">
        <v>2001</v>
      </c>
      <c r="AV102" t="s">
        <v>74</v>
      </c>
      <c r="AW102" t="s">
        <v>74</v>
      </c>
      <c r="AX102" t="s">
        <v>74</v>
      </c>
      <c r="AY102" t="s">
        <v>74</v>
      </c>
      <c r="AZ102" t="s">
        <v>74</v>
      </c>
      <c r="BA102" t="s">
        <v>74</v>
      </c>
      <c r="BB102">
        <v>2946</v>
      </c>
      <c r="BC102">
        <v>2948</v>
      </c>
      <c r="BD102" t="s">
        <v>74</v>
      </c>
      <c r="BE102" t="s">
        <v>74</v>
      </c>
      <c r="BF102" t="s">
        <v>74</v>
      </c>
      <c r="BG102" t="s">
        <v>74</v>
      </c>
      <c r="BH102" t="s">
        <v>74</v>
      </c>
      <c r="BI102">
        <v>3</v>
      </c>
      <c r="BJ102" t="s">
        <v>1410</v>
      </c>
      <c r="BK102" t="s">
        <v>229</v>
      </c>
      <c r="BL102" t="s">
        <v>1411</v>
      </c>
      <c r="BM102" t="s">
        <v>1412</v>
      </c>
      <c r="BN102" t="s">
        <v>74</v>
      </c>
      <c r="BO102" t="s">
        <v>74</v>
      </c>
      <c r="BP102" t="s">
        <v>74</v>
      </c>
      <c r="BQ102" t="s">
        <v>74</v>
      </c>
      <c r="BR102" t="s">
        <v>97</v>
      </c>
      <c r="BS102" t="s">
        <v>1496</v>
      </c>
      <c r="BT102" t="str">
        <f>HYPERLINK("https%3A%2F%2Fwww.webofscience.com%2Fwos%2Fwoscc%2Ffull-record%2FWOS:000177297200949","View Full Record in Web of Science")</f>
        <v>View Full Record in Web of Science</v>
      </c>
    </row>
    <row r="103" spans="1:72" x14ac:dyDescent="0.15">
      <c r="A103" t="s">
        <v>209</v>
      </c>
      <c r="B103" t="s">
        <v>1497</v>
      </c>
      <c r="C103" t="s">
        <v>74</v>
      </c>
      <c r="D103" t="s">
        <v>1498</v>
      </c>
      <c r="E103" t="s">
        <v>74</v>
      </c>
      <c r="F103" t="s">
        <v>1497</v>
      </c>
      <c r="G103" t="s">
        <v>74</v>
      </c>
      <c r="H103" t="s">
        <v>74</v>
      </c>
      <c r="I103" t="s">
        <v>1499</v>
      </c>
      <c r="J103" t="s">
        <v>1500</v>
      </c>
      <c r="K103" t="s">
        <v>1501</v>
      </c>
      <c r="L103" t="s">
        <v>74</v>
      </c>
      <c r="M103" t="s">
        <v>77</v>
      </c>
      <c r="N103" t="s">
        <v>214</v>
      </c>
      <c r="O103" t="s">
        <v>1502</v>
      </c>
      <c r="P103">
        <v>1998</v>
      </c>
      <c r="Q103" t="s">
        <v>1503</v>
      </c>
      <c r="R103" t="s">
        <v>74</v>
      </c>
      <c r="S103" t="s">
        <v>74</v>
      </c>
      <c r="T103" t="s">
        <v>74</v>
      </c>
      <c r="U103" t="s">
        <v>74</v>
      </c>
      <c r="V103" t="s">
        <v>74</v>
      </c>
      <c r="W103" t="s">
        <v>1504</v>
      </c>
      <c r="X103" t="s">
        <v>1505</v>
      </c>
      <c r="Y103" t="s">
        <v>1506</v>
      </c>
      <c r="Z103" t="s">
        <v>74</v>
      </c>
      <c r="AA103" t="s">
        <v>74</v>
      </c>
      <c r="AB103" t="s">
        <v>74</v>
      </c>
      <c r="AC103" t="s">
        <v>74</v>
      </c>
      <c r="AD103" t="s">
        <v>74</v>
      </c>
      <c r="AE103" t="s">
        <v>74</v>
      </c>
      <c r="AF103" t="s">
        <v>74</v>
      </c>
      <c r="AG103">
        <v>0</v>
      </c>
      <c r="AH103">
        <v>0</v>
      </c>
      <c r="AI103">
        <v>0</v>
      </c>
      <c r="AJ103">
        <v>0</v>
      </c>
      <c r="AK103">
        <v>1</v>
      </c>
      <c r="AL103" t="s">
        <v>1507</v>
      </c>
      <c r="AM103" t="s">
        <v>1508</v>
      </c>
      <c r="AN103" t="s">
        <v>1509</v>
      </c>
      <c r="AO103" t="s">
        <v>1510</v>
      </c>
      <c r="AP103" t="s">
        <v>74</v>
      </c>
      <c r="AQ103" t="s">
        <v>1511</v>
      </c>
      <c r="AR103" t="s">
        <v>1512</v>
      </c>
      <c r="AS103" t="s">
        <v>74</v>
      </c>
      <c r="AT103" t="s">
        <v>74</v>
      </c>
      <c r="AU103">
        <v>2001</v>
      </c>
      <c r="AV103">
        <v>27</v>
      </c>
      <c r="AW103" t="s">
        <v>74</v>
      </c>
      <c r="AX103">
        <v>3</v>
      </c>
      <c r="AY103" t="s">
        <v>74</v>
      </c>
      <c r="AZ103" t="s">
        <v>74</v>
      </c>
      <c r="BA103" t="s">
        <v>74</v>
      </c>
      <c r="BB103">
        <v>1459</v>
      </c>
      <c r="BC103">
        <v>1459</v>
      </c>
      <c r="BD103" t="s">
        <v>74</v>
      </c>
      <c r="BE103" t="s">
        <v>74</v>
      </c>
      <c r="BF103" t="s">
        <v>74</v>
      </c>
      <c r="BG103" t="s">
        <v>74</v>
      </c>
      <c r="BH103" t="s">
        <v>74</v>
      </c>
      <c r="BI103">
        <v>1</v>
      </c>
      <c r="BJ103" t="s">
        <v>1513</v>
      </c>
      <c r="BK103" t="s">
        <v>229</v>
      </c>
      <c r="BL103" t="s">
        <v>1259</v>
      </c>
      <c r="BM103" t="s">
        <v>1514</v>
      </c>
      <c r="BN103" t="s">
        <v>74</v>
      </c>
      <c r="BO103" t="s">
        <v>74</v>
      </c>
      <c r="BP103" t="s">
        <v>74</v>
      </c>
      <c r="BQ103" t="s">
        <v>74</v>
      </c>
      <c r="BR103" t="s">
        <v>97</v>
      </c>
      <c r="BS103" t="s">
        <v>1515</v>
      </c>
      <c r="BT103" t="str">
        <f>HYPERLINK("https%3A%2F%2Fwww.webofscience.com%2Fwos%2Fwoscc%2Ffull-record%2FWOS:000170061900061","View Full Record in Web of Science")</f>
        <v>View Full Record in Web of Science</v>
      </c>
    </row>
    <row r="104" spans="1:72" x14ac:dyDescent="0.15">
      <c r="A104" t="s">
        <v>72</v>
      </c>
      <c r="B104" t="s">
        <v>1516</v>
      </c>
      <c r="C104" t="s">
        <v>74</v>
      </c>
      <c r="D104" t="s">
        <v>74</v>
      </c>
      <c r="E104" t="s">
        <v>74</v>
      </c>
      <c r="F104" t="s">
        <v>1516</v>
      </c>
      <c r="G104" t="s">
        <v>74</v>
      </c>
      <c r="H104" t="s">
        <v>74</v>
      </c>
      <c r="I104" t="s">
        <v>1517</v>
      </c>
      <c r="J104" t="s">
        <v>1518</v>
      </c>
      <c r="K104" t="s">
        <v>74</v>
      </c>
      <c r="L104" t="s">
        <v>74</v>
      </c>
      <c r="M104" t="s">
        <v>77</v>
      </c>
      <c r="N104" t="s">
        <v>78</v>
      </c>
      <c r="O104" t="s">
        <v>74</v>
      </c>
      <c r="P104" t="s">
        <v>74</v>
      </c>
      <c r="Q104" t="s">
        <v>74</v>
      </c>
      <c r="R104" t="s">
        <v>74</v>
      </c>
      <c r="S104" t="s">
        <v>74</v>
      </c>
      <c r="T104" t="s">
        <v>1519</v>
      </c>
      <c r="U104" t="s">
        <v>1520</v>
      </c>
      <c r="V104" t="s">
        <v>1521</v>
      </c>
      <c r="W104" t="s">
        <v>1522</v>
      </c>
      <c r="X104" t="s">
        <v>1523</v>
      </c>
      <c r="Y104" t="s">
        <v>1524</v>
      </c>
      <c r="Z104" t="s">
        <v>1525</v>
      </c>
      <c r="AA104" t="s">
        <v>1526</v>
      </c>
      <c r="AB104" t="s">
        <v>1527</v>
      </c>
      <c r="AC104" t="s">
        <v>74</v>
      </c>
      <c r="AD104" t="s">
        <v>74</v>
      </c>
      <c r="AE104" t="s">
        <v>74</v>
      </c>
      <c r="AF104" t="s">
        <v>74</v>
      </c>
      <c r="AG104">
        <v>43</v>
      </c>
      <c r="AH104">
        <v>35</v>
      </c>
      <c r="AI104">
        <v>39</v>
      </c>
      <c r="AJ104">
        <v>0</v>
      </c>
      <c r="AK104">
        <v>7</v>
      </c>
      <c r="AL104" t="s">
        <v>813</v>
      </c>
      <c r="AM104" t="s">
        <v>814</v>
      </c>
      <c r="AN104" t="s">
        <v>815</v>
      </c>
      <c r="AO104" t="s">
        <v>1528</v>
      </c>
      <c r="AP104" t="s">
        <v>1529</v>
      </c>
      <c r="AQ104" t="s">
        <v>74</v>
      </c>
      <c r="AR104" t="s">
        <v>1530</v>
      </c>
      <c r="AS104" t="s">
        <v>1531</v>
      </c>
      <c r="AT104" t="s">
        <v>91</v>
      </c>
      <c r="AU104">
        <v>2001</v>
      </c>
      <c r="AV104">
        <v>21</v>
      </c>
      <c r="AW104">
        <v>1</v>
      </c>
      <c r="AX104" t="s">
        <v>74</v>
      </c>
      <c r="AY104" t="s">
        <v>74</v>
      </c>
      <c r="AZ104" t="s">
        <v>74</v>
      </c>
      <c r="BA104" t="s">
        <v>74</v>
      </c>
      <c r="BB104">
        <v>21</v>
      </c>
      <c r="BC104">
        <v>36</v>
      </c>
      <c r="BD104" t="s">
        <v>74</v>
      </c>
      <c r="BE104" t="s">
        <v>1532</v>
      </c>
      <c r="BF104" t="str">
        <f>HYPERLINK("http://dx.doi.org/10.1002/joc.563","http://dx.doi.org/10.1002/joc.563")</f>
        <v>http://dx.doi.org/10.1002/joc.563</v>
      </c>
      <c r="BG104" t="s">
        <v>74</v>
      </c>
      <c r="BH104" t="s">
        <v>74</v>
      </c>
      <c r="BI104">
        <v>16</v>
      </c>
      <c r="BJ104" t="s">
        <v>167</v>
      </c>
      <c r="BK104" t="s">
        <v>94</v>
      </c>
      <c r="BL104" t="s">
        <v>167</v>
      </c>
      <c r="BM104" t="s">
        <v>1533</v>
      </c>
      <c r="BN104" t="s">
        <v>74</v>
      </c>
      <c r="BO104" t="s">
        <v>74</v>
      </c>
      <c r="BP104" t="s">
        <v>74</v>
      </c>
      <c r="BQ104" t="s">
        <v>74</v>
      </c>
      <c r="BR104" t="s">
        <v>97</v>
      </c>
      <c r="BS104" t="s">
        <v>1534</v>
      </c>
      <c r="BT104" t="str">
        <f>HYPERLINK("https%3A%2F%2Fwww.webofscience.com%2Fwos%2Fwoscc%2Ffull-record%2FWOS:000166882500002","View Full Record in Web of Science")</f>
        <v>View Full Record in Web of Science</v>
      </c>
    </row>
    <row r="105" spans="1:72" x14ac:dyDescent="0.15">
      <c r="A105" t="s">
        <v>72</v>
      </c>
      <c r="B105" t="s">
        <v>1535</v>
      </c>
      <c r="C105" t="s">
        <v>74</v>
      </c>
      <c r="D105" t="s">
        <v>74</v>
      </c>
      <c r="E105" t="s">
        <v>74</v>
      </c>
      <c r="F105" t="s">
        <v>1535</v>
      </c>
      <c r="G105" t="s">
        <v>74</v>
      </c>
      <c r="H105" t="s">
        <v>74</v>
      </c>
      <c r="I105" t="s">
        <v>1536</v>
      </c>
      <c r="J105" t="s">
        <v>1537</v>
      </c>
      <c r="K105" t="s">
        <v>74</v>
      </c>
      <c r="L105" t="s">
        <v>74</v>
      </c>
      <c r="M105" t="s">
        <v>77</v>
      </c>
      <c r="N105" t="s">
        <v>78</v>
      </c>
      <c r="O105" t="s">
        <v>74</v>
      </c>
      <c r="P105" t="s">
        <v>74</v>
      </c>
      <c r="Q105" t="s">
        <v>74</v>
      </c>
      <c r="R105" t="s">
        <v>74</v>
      </c>
      <c r="S105" t="s">
        <v>74</v>
      </c>
      <c r="T105" t="s">
        <v>1538</v>
      </c>
      <c r="U105" t="s">
        <v>1539</v>
      </c>
      <c r="V105" t="s">
        <v>1540</v>
      </c>
      <c r="W105" t="s">
        <v>1541</v>
      </c>
      <c r="X105" t="s">
        <v>1542</v>
      </c>
      <c r="Y105" t="s">
        <v>1543</v>
      </c>
      <c r="Z105" t="s">
        <v>1544</v>
      </c>
      <c r="AA105" t="s">
        <v>1545</v>
      </c>
      <c r="AB105" t="s">
        <v>1546</v>
      </c>
      <c r="AC105" t="s">
        <v>74</v>
      </c>
      <c r="AD105" t="s">
        <v>74</v>
      </c>
      <c r="AE105" t="s">
        <v>74</v>
      </c>
      <c r="AF105" t="s">
        <v>74</v>
      </c>
      <c r="AG105">
        <v>27</v>
      </c>
      <c r="AH105">
        <v>28</v>
      </c>
      <c r="AI105">
        <v>28</v>
      </c>
      <c r="AJ105">
        <v>1</v>
      </c>
      <c r="AK105">
        <v>37</v>
      </c>
      <c r="AL105" t="s">
        <v>1039</v>
      </c>
      <c r="AM105" t="s">
        <v>1040</v>
      </c>
      <c r="AN105" t="s">
        <v>1547</v>
      </c>
      <c r="AO105" t="s">
        <v>1548</v>
      </c>
      <c r="AP105" t="s">
        <v>74</v>
      </c>
      <c r="AQ105" t="s">
        <v>74</v>
      </c>
      <c r="AR105" t="s">
        <v>1549</v>
      </c>
      <c r="AS105" t="s">
        <v>1550</v>
      </c>
      <c r="AT105" t="s">
        <v>74</v>
      </c>
      <c r="AU105">
        <v>2001</v>
      </c>
      <c r="AV105">
        <v>79</v>
      </c>
      <c r="AW105">
        <v>4</v>
      </c>
      <c r="AX105" t="s">
        <v>74</v>
      </c>
      <c r="AY105" t="s">
        <v>74</v>
      </c>
      <c r="AZ105" t="s">
        <v>74</v>
      </c>
      <c r="BA105" t="s">
        <v>74</v>
      </c>
      <c r="BB105">
        <v>257</v>
      </c>
      <c r="BC105">
        <v>272</v>
      </c>
      <c r="BD105" t="s">
        <v>74</v>
      </c>
      <c r="BE105" t="s">
        <v>1551</v>
      </c>
      <c r="BF105" t="str">
        <f>HYPERLINK("http://dx.doi.org/10.1080/03067310108044388","http://dx.doi.org/10.1080/03067310108044388")</f>
        <v>http://dx.doi.org/10.1080/03067310108044388</v>
      </c>
      <c r="BG105" t="s">
        <v>74</v>
      </c>
      <c r="BH105" t="s">
        <v>74</v>
      </c>
      <c r="BI105">
        <v>16</v>
      </c>
      <c r="BJ105" t="s">
        <v>1552</v>
      </c>
      <c r="BK105" t="s">
        <v>94</v>
      </c>
      <c r="BL105" t="s">
        <v>1553</v>
      </c>
      <c r="BM105" t="s">
        <v>1554</v>
      </c>
      <c r="BN105" t="s">
        <v>74</v>
      </c>
      <c r="BO105" t="s">
        <v>74</v>
      </c>
      <c r="BP105" t="s">
        <v>74</v>
      </c>
      <c r="BQ105" t="s">
        <v>74</v>
      </c>
      <c r="BR105" t="s">
        <v>97</v>
      </c>
      <c r="BS105" t="s">
        <v>1555</v>
      </c>
      <c r="BT105" t="str">
        <f>HYPERLINK("https%3A%2F%2Fwww.webofscience.com%2Fwos%2Fwoscc%2Ffull-record%2FWOS:000170583100002","View Full Record in Web of Science")</f>
        <v>View Full Record in Web of Science</v>
      </c>
    </row>
    <row r="106" spans="1:72" x14ac:dyDescent="0.15">
      <c r="A106" t="s">
        <v>72</v>
      </c>
      <c r="B106" t="s">
        <v>1556</v>
      </c>
      <c r="C106" t="s">
        <v>74</v>
      </c>
      <c r="D106" t="s">
        <v>74</v>
      </c>
      <c r="E106" t="s">
        <v>74</v>
      </c>
      <c r="F106" t="s">
        <v>1556</v>
      </c>
      <c r="G106" t="s">
        <v>74</v>
      </c>
      <c r="H106" t="s">
        <v>74</v>
      </c>
      <c r="I106" t="s">
        <v>1557</v>
      </c>
      <c r="J106" t="s">
        <v>1537</v>
      </c>
      <c r="K106" t="s">
        <v>74</v>
      </c>
      <c r="L106" t="s">
        <v>74</v>
      </c>
      <c r="M106" t="s">
        <v>77</v>
      </c>
      <c r="N106" t="s">
        <v>78</v>
      </c>
      <c r="O106" t="s">
        <v>74</v>
      </c>
      <c r="P106" t="s">
        <v>74</v>
      </c>
      <c r="Q106" t="s">
        <v>74</v>
      </c>
      <c r="R106" t="s">
        <v>74</v>
      </c>
      <c r="S106" t="s">
        <v>74</v>
      </c>
      <c r="T106" t="s">
        <v>1558</v>
      </c>
      <c r="U106" t="s">
        <v>1559</v>
      </c>
      <c r="V106" t="s">
        <v>1560</v>
      </c>
      <c r="W106" t="s">
        <v>1561</v>
      </c>
      <c r="X106" t="s">
        <v>1562</v>
      </c>
      <c r="Y106" t="s">
        <v>1563</v>
      </c>
      <c r="Z106" t="s">
        <v>74</v>
      </c>
      <c r="AA106" t="s">
        <v>1564</v>
      </c>
      <c r="AB106" t="s">
        <v>1565</v>
      </c>
      <c r="AC106" t="s">
        <v>74</v>
      </c>
      <c r="AD106" t="s">
        <v>74</v>
      </c>
      <c r="AE106" t="s">
        <v>74</v>
      </c>
      <c r="AF106" t="s">
        <v>74</v>
      </c>
      <c r="AG106">
        <v>28</v>
      </c>
      <c r="AH106">
        <v>14</v>
      </c>
      <c r="AI106">
        <v>14</v>
      </c>
      <c r="AJ106">
        <v>0</v>
      </c>
      <c r="AK106">
        <v>13</v>
      </c>
      <c r="AL106" t="s">
        <v>1566</v>
      </c>
      <c r="AM106" t="s">
        <v>1567</v>
      </c>
      <c r="AN106" t="s">
        <v>1568</v>
      </c>
      <c r="AO106" t="s">
        <v>1548</v>
      </c>
      <c r="AP106" t="s">
        <v>74</v>
      </c>
      <c r="AQ106" t="s">
        <v>74</v>
      </c>
      <c r="AR106" t="s">
        <v>1549</v>
      </c>
      <c r="AS106" t="s">
        <v>1550</v>
      </c>
      <c r="AT106" t="s">
        <v>74</v>
      </c>
      <c r="AU106">
        <v>2001</v>
      </c>
      <c r="AV106">
        <v>79</v>
      </c>
      <c r="AW106">
        <v>4</v>
      </c>
      <c r="AX106" t="s">
        <v>74</v>
      </c>
      <c r="AY106" t="s">
        <v>74</v>
      </c>
      <c r="AZ106" t="s">
        <v>74</v>
      </c>
      <c r="BA106" t="s">
        <v>74</v>
      </c>
      <c r="BB106">
        <v>283</v>
      </c>
      <c r="BC106">
        <v>299</v>
      </c>
      <c r="BD106" t="s">
        <v>74</v>
      </c>
      <c r="BE106" t="s">
        <v>1569</v>
      </c>
      <c r="BF106" t="str">
        <f>HYPERLINK("http://dx.doi.org/10.1080/03067310108044390","http://dx.doi.org/10.1080/03067310108044390")</f>
        <v>http://dx.doi.org/10.1080/03067310108044390</v>
      </c>
      <c r="BG106" t="s">
        <v>74</v>
      </c>
      <c r="BH106" t="s">
        <v>74</v>
      </c>
      <c r="BI106">
        <v>17</v>
      </c>
      <c r="BJ106" t="s">
        <v>1552</v>
      </c>
      <c r="BK106" t="s">
        <v>94</v>
      </c>
      <c r="BL106" t="s">
        <v>1553</v>
      </c>
      <c r="BM106" t="s">
        <v>1554</v>
      </c>
      <c r="BN106" t="s">
        <v>74</v>
      </c>
      <c r="BO106" t="s">
        <v>74</v>
      </c>
      <c r="BP106" t="s">
        <v>74</v>
      </c>
      <c r="BQ106" t="s">
        <v>74</v>
      </c>
      <c r="BR106" t="s">
        <v>97</v>
      </c>
      <c r="BS106" t="s">
        <v>1570</v>
      </c>
      <c r="BT106" t="str">
        <f>HYPERLINK("https%3A%2F%2Fwww.webofscience.com%2Fwos%2Fwoscc%2Ffull-record%2FWOS:000170583100004","View Full Record in Web of Science")</f>
        <v>View Full Record in Web of Science</v>
      </c>
    </row>
    <row r="107" spans="1:72" x14ac:dyDescent="0.15">
      <c r="A107" t="s">
        <v>72</v>
      </c>
      <c r="B107" t="s">
        <v>1571</v>
      </c>
      <c r="C107" t="s">
        <v>74</v>
      </c>
      <c r="D107" t="s">
        <v>74</v>
      </c>
      <c r="E107" t="s">
        <v>74</v>
      </c>
      <c r="F107" t="s">
        <v>1571</v>
      </c>
      <c r="G107" t="s">
        <v>74</v>
      </c>
      <c r="H107" t="s">
        <v>74</v>
      </c>
      <c r="I107" t="s">
        <v>1572</v>
      </c>
      <c r="J107" t="s">
        <v>1537</v>
      </c>
      <c r="K107" t="s">
        <v>74</v>
      </c>
      <c r="L107" t="s">
        <v>74</v>
      </c>
      <c r="M107" t="s">
        <v>77</v>
      </c>
      <c r="N107" t="s">
        <v>78</v>
      </c>
      <c r="O107" t="s">
        <v>74</v>
      </c>
      <c r="P107" t="s">
        <v>74</v>
      </c>
      <c r="Q107" t="s">
        <v>74</v>
      </c>
      <c r="R107" t="s">
        <v>74</v>
      </c>
      <c r="S107" t="s">
        <v>74</v>
      </c>
      <c r="T107" t="s">
        <v>1573</v>
      </c>
      <c r="U107" t="s">
        <v>1574</v>
      </c>
      <c r="V107" t="s">
        <v>1575</v>
      </c>
      <c r="W107" t="s">
        <v>1576</v>
      </c>
      <c r="X107" t="s">
        <v>1577</v>
      </c>
      <c r="Y107" t="s">
        <v>1578</v>
      </c>
      <c r="Z107" t="s">
        <v>1579</v>
      </c>
      <c r="AA107" t="s">
        <v>1580</v>
      </c>
      <c r="AB107" t="s">
        <v>1581</v>
      </c>
      <c r="AC107" t="s">
        <v>74</v>
      </c>
      <c r="AD107" t="s">
        <v>74</v>
      </c>
      <c r="AE107" t="s">
        <v>74</v>
      </c>
      <c r="AF107" t="s">
        <v>74</v>
      </c>
      <c r="AG107">
        <v>26</v>
      </c>
      <c r="AH107">
        <v>26</v>
      </c>
      <c r="AI107">
        <v>28</v>
      </c>
      <c r="AJ107">
        <v>1</v>
      </c>
      <c r="AK107">
        <v>13</v>
      </c>
      <c r="AL107" t="s">
        <v>1039</v>
      </c>
      <c r="AM107" t="s">
        <v>1040</v>
      </c>
      <c r="AN107" t="s">
        <v>1547</v>
      </c>
      <c r="AO107" t="s">
        <v>1548</v>
      </c>
      <c r="AP107" t="s">
        <v>74</v>
      </c>
      <c r="AQ107" t="s">
        <v>74</v>
      </c>
      <c r="AR107" t="s">
        <v>1549</v>
      </c>
      <c r="AS107" t="s">
        <v>1550</v>
      </c>
      <c r="AT107" t="s">
        <v>74</v>
      </c>
      <c r="AU107">
        <v>2001</v>
      </c>
      <c r="AV107">
        <v>79</v>
      </c>
      <c r="AW107">
        <v>4</v>
      </c>
      <c r="AX107" t="s">
        <v>74</v>
      </c>
      <c r="AY107" t="s">
        <v>74</v>
      </c>
      <c r="AZ107" t="s">
        <v>74</v>
      </c>
      <c r="BA107" t="s">
        <v>74</v>
      </c>
      <c r="BB107">
        <v>301</v>
      </c>
      <c r="BC107">
        <v>313</v>
      </c>
      <c r="BD107" t="s">
        <v>74</v>
      </c>
      <c r="BE107" t="s">
        <v>1582</v>
      </c>
      <c r="BF107" t="str">
        <f>HYPERLINK("http://dx.doi.org/10.1080/03067310108044391","http://dx.doi.org/10.1080/03067310108044391")</f>
        <v>http://dx.doi.org/10.1080/03067310108044391</v>
      </c>
      <c r="BG107" t="s">
        <v>74</v>
      </c>
      <c r="BH107" t="s">
        <v>74</v>
      </c>
      <c r="BI107">
        <v>13</v>
      </c>
      <c r="BJ107" t="s">
        <v>1552</v>
      </c>
      <c r="BK107" t="s">
        <v>94</v>
      </c>
      <c r="BL107" t="s">
        <v>1553</v>
      </c>
      <c r="BM107" t="s">
        <v>1554</v>
      </c>
      <c r="BN107" t="s">
        <v>74</v>
      </c>
      <c r="BO107" t="s">
        <v>74</v>
      </c>
      <c r="BP107" t="s">
        <v>74</v>
      </c>
      <c r="BQ107" t="s">
        <v>74</v>
      </c>
      <c r="BR107" t="s">
        <v>97</v>
      </c>
      <c r="BS107" t="s">
        <v>1583</v>
      </c>
      <c r="BT107" t="str">
        <f>HYPERLINK("https%3A%2F%2Fwww.webofscience.com%2Fwos%2Fwoscc%2Ffull-record%2FWOS:000170583100005","View Full Record in Web of Science")</f>
        <v>View Full Record in Web of Science</v>
      </c>
    </row>
    <row r="108" spans="1:72" x14ac:dyDescent="0.15">
      <c r="A108" t="s">
        <v>72</v>
      </c>
      <c r="B108" t="s">
        <v>1584</v>
      </c>
      <c r="C108" t="s">
        <v>74</v>
      </c>
      <c r="D108" t="s">
        <v>74</v>
      </c>
      <c r="E108" t="s">
        <v>74</v>
      </c>
      <c r="F108" t="s">
        <v>1584</v>
      </c>
      <c r="G108" t="s">
        <v>74</v>
      </c>
      <c r="H108" t="s">
        <v>74</v>
      </c>
      <c r="I108" t="s">
        <v>1585</v>
      </c>
      <c r="J108" t="s">
        <v>1537</v>
      </c>
      <c r="K108" t="s">
        <v>74</v>
      </c>
      <c r="L108" t="s">
        <v>74</v>
      </c>
      <c r="M108" t="s">
        <v>77</v>
      </c>
      <c r="N108" t="s">
        <v>78</v>
      </c>
      <c r="O108" t="s">
        <v>74</v>
      </c>
      <c r="P108" t="s">
        <v>74</v>
      </c>
      <c r="Q108" t="s">
        <v>74</v>
      </c>
      <c r="R108" t="s">
        <v>74</v>
      </c>
      <c r="S108" t="s">
        <v>74</v>
      </c>
      <c r="T108" t="s">
        <v>1586</v>
      </c>
      <c r="U108" t="s">
        <v>1587</v>
      </c>
      <c r="V108" t="s">
        <v>1588</v>
      </c>
      <c r="W108" t="s">
        <v>1589</v>
      </c>
      <c r="X108" t="s">
        <v>1590</v>
      </c>
      <c r="Y108" t="s">
        <v>1591</v>
      </c>
      <c r="Z108" t="s">
        <v>74</v>
      </c>
      <c r="AA108" t="s">
        <v>1592</v>
      </c>
      <c r="AB108" t="s">
        <v>1593</v>
      </c>
      <c r="AC108" t="s">
        <v>74</v>
      </c>
      <c r="AD108" t="s">
        <v>74</v>
      </c>
      <c r="AE108" t="s">
        <v>74</v>
      </c>
      <c r="AF108" t="s">
        <v>74</v>
      </c>
      <c r="AG108">
        <v>29</v>
      </c>
      <c r="AH108">
        <v>11</v>
      </c>
      <c r="AI108">
        <v>13</v>
      </c>
      <c r="AJ108">
        <v>0</v>
      </c>
      <c r="AK108">
        <v>10</v>
      </c>
      <c r="AL108" t="s">
        <v>1566</v>
      </c>
      <c r="AM108" t="s">
        <v>1567</v>
      </c>
      <c r="AN108" t="s">
        <v>1568</v>
      </c>
      <c r="AO108" t="s">
        <v>1548</v>
      </c>
      <c r="AP108" t="s">
        <v>74</v>
      </c>
      <c r="AQ108" t="s">
        <v>74</v>
      </c>
      <c r="AR108" t="s">
        <v>1549</v>
      </c>
      <c r="AS108" t="s">
        <v>1550</v>
      </c>
      <c r="AT108" t="s">
        <v>74</v>
      </c>
      <c r="AU108">
        <v>2001</v>
      </c>
      <c r="AV108">
        <v>79</v>
      </c>
      <c r="AW108">
        <v>4</v>
      </c>
      <c r="AX108" t="s">
        <v>74</v>
      </c>
      <c r="AY108" t="s">
        <v>74</v>
      </c>
      <c r="AZ108" t="s">
        <v>74</v>
      </c>
      <c r="BA108" t="s">
        <v>74</v>
      </c>
      <c r="BB108">
        <v>315</v>
      </c>
      <c r="BC108">
        <v>329</v>
      </c>
      <c r="BD108" t="s">
        <v>74</v>
      </c>
      <c r="BE108" t="s">
        <v>1594</v>
      </c>
      <c r="BF108" t="str">
        <f>HYPERLINK("http://dx.doi.org/10.1080/03067310108044392","http://dx.doi.org/10.1080/03067310108044392")</f>
        <v>http://dx.doi.org/10.1080/03067310108044392</v>
      </c>
      <c r="BG108" t="s">
        <v>74</v>
      </c>
      <c r="BH108" t="s">
        <v>74</v>
      </c>
      <c r="BI108">
        <v>15</v>
      </c>
      <c r="BJ108" t="s">
        <v>1552</v>
      </c>
      <c r="BK108" t="s">
        <v>94</v>
      </c>
      <c r="BL108" t="s">
        <v>1553</v>
      </c>
      <c r="BM108" t="s">
        <v>1554</v>
      </c>
      <c r="BN108" t="s">
        <v>74</v>
      </c>
      <c r="BO108" t="s">
        <v>74</v>
      </c>
      <c r="BP108" t="s">
        <v>74</v>
      </c>
      <c r="BQ108" t="s">
        <v>74</v>
      </c>
      <c r="BR108" t="s">
        <v>97</v>
      </c>
      <c r="BS108" t="s">
        <v>1595</v>
      </c>
      <c r="BT108" t="str">
        <f>HYPERLINK("https%3A%2F%2Fwww.webofscience.com%2Fwos%2Fwoscc%2Ffull-record%2FWOS:000170583100006","View Full Record in Web of Science")</f>
        <v>View Full Record in Web of Science</v>
      </c>
    </row>
    <row r="109" spans="1:72" x14ac:dyDescent="0.15">
      <c r="A109" t="s">
        <v>72</v>
      </c>
      <c r="B109" t="s">
        <v>1596</v>
      </c>
      <c r="C109" t="s">
        <v>74</v>
      </c>
      <c r="D109" t="s">
        <v>74</v>
      </c>
      <c r="E109" t="s">
        <v>74</v>
      </c>
      <c r="F109" t="s">
        <v>1596</v>
      </c>
      <c r="G109" t="s">
        <v>74</v>
      </c>
      <c r="H109" t="s">
        <v>74</v>
      </c>
      <c r="I109" t="s">
        <v>1597</v>
      </c>
      <c r="J109" t="s">
        <v>1537</v>
      </c>
      <c r="K109" t="s">
        <v>74</v>
      </c>
      <c r="L109" t="s">
        <v>74</v>
      </c>
      <c r="M109" t="s">
        <v>77</v>
      </c>
      <c r="N109" t="s">
        <v>78</v>
      </c>
      <c r="O109" t="s">
        <v>74</v>
      </c>
      <c r="P109" t="s">
        <v>74</v>
      </c>
      <c r="Q109" t="s">
        <v>74</v>
      </c>
      <c r="R109" t="s">
        <v>74</v>
      </c>
      <c r="S109" t="s">
        <v>74</v>
      </c>
      <c r="T109" t="s">
        <v>1598</v>
      </c>
      <c r="U109" t="s">
        <v>1599</v>
      </c>
      <c r="V109" t="s">
        <v>1600</v>
      </c>
      <c r="W109" t="s">
        <v>1601</v>
      </c>
      <c r="X109" t="s">
        <v>1602</v>
      </c>
      <c r="Y109" t="s">
        <v>1603</v>
      </c>
      <c r="Z109" t="s">
        <v>74</v>
      </c>
      <c r="AA109" t="s">
        <v>1604</v>
      </c>
      <c r="AB109" t="s">
        <v>1605</v>
      </c>
      <c r="AC109" t="s">
        <v>74</v>
      </c>
      <c r="AD109" t="s">
        <v>74</v>
      </c>
      <c r="AE109" t="s">
        <v>74</v>
      </c>
      <c r="AF109" t="s">
        <v>74</v>
      </c>
      <c r="AG109">
        <v>32</v>
      </c>
      <c r="AH109">
        <v>16</v>
      </c>
      <c r="AI109">
        <v>20</v>
      </c>
      <c r="AJ109">
        <v>0</v>
      </c>
      <c r="AK109">
        <v>8</v>
      </c>
      <c r="AL109" t="s">
        <v>1566</v>
      </c>
      <c r="AM109" t="s">
        <v>1567</v>
      </c>
      <c r="AN109" t="s">
        <v>1568</v>
      </c>
      <c r="AO109" t="s">
        <v>1548</v>
      </c>
      <c r="AP109" t="s">
        <v>74</v>
      </c>
      <c r="AQ109" t="s">
        <v>74</v>
      </c>
      <c r="AR109" t="s">
        <v>1549</v>
      </c>
      <c r="AS109" t="s">
        <v>1550</v>
      </c>
      <c r="AT109" t="s">
        <v>74</v>
      </c>
      <c r="AU109">
        <v>2001</v>
      </c>
      <c r="AV109">
        <v>79</v>
      </c>
      <c r="AW109">
        <v>4</v>
      </c>
      <c r="AX109" t="s">
        <v>74</v>
      </c>
      <c r="AY109" t="s">
        <v>74</v>
      </c>
      <c r="AZ109" t="s">
        <v>74</v>
      </c>
      <c r="BA109" t="s">
        <v>74</v>
      </c>
      <c r="BB109">
        <v>331</v>
      </c>
      <c r="BC109">
        <v>348</v>
      </c>
      <c r="BD109" t="s">
        <v>74</v>
      </c>
      <c r="BE109" t="s">
        <v>1606</v>
      </c>
      <c r="BF109" t="str">
        <f>HYPERLINK("http://dx.doi.org/10.1080/03067310108044393","http://dx.doi.org/10.1080/03067310108044393")</f>
        <v>http://dx.doi.org/10.1080/03067310108044393</v>
      </c>
      <c r="BG109" t="s">
        <v>74</v>
      </c>
      <c r="BH109" t="s">
        <v>74</v>
      </c>
      <c r="BI109">
        <v>18</v>
      </c>
      <c r="BJ109" t="s">
        <v>1552</v>
      </c>
      <c r="BK109" t="s">
        <v>94</v>
      </c>
      <c r="BL109" t="s">
        <v>1553</v>
      </c>
      <c r="BM109" t="s">
        <v>1554</v>
      </c>
      <c r="BN109" t="s">
        <v>74</v>
      </c>
      <c r="BO109" t="s">
        <v>74</v>
      </c>
      <c r="BP109" t="s">
        <v>74</v>
      </c>
      <c r="BQ109" t="s">
        <v>74</v>
      </c>
      <c r="BR109" t="s">
        <v>97</v>
      </c>
      <c r="BS109" t="s">
        <v>1607</v>
      </c>
      <c r="BT109" t="str">
        <f>HYPERLINK("https%3A%2F%2Fwww.webofscience.com%2Fwos%2Fwoscc%2Ffull-record%2FWOS:000170583100007","View Full Record in Web of Science")</f>
        <v>View Full Record in Web of Science</v>
      </c>
    </row>
    <row r="110" spans="1:72" x14ac:dyDescent="0.15">
      <c r="A110" t="s">
        <v>72</v>
      </c>
      <c r="B110" t="s">
        <v>1608</v>
      </c>
      <c r="C110" t="s">
        <v>74</v>
      </c>
      <c r="D110" t="s">
        <v>74</v>
      </c>
      <c r="E110" t="s">
        <v>74</v>
      </c>
      <c r="F110" t="s">
        <v>1608</v>
      </c>
      <c r="G110" t="s">
        <v>74</v>
      </c>
      <c r="H110" t="s">
        <v>74</v>
      </c>
      <c r="I110" t="s">
        <v>1609</v>
      </c>
      <c r="J110" t="s">
        <v>1537</v>
      </c>
      <c r="K110" t="s">
        <v>74</v>
      </c>
      <c r="L110" t="s">
        <v>74</v>
      </c>
      <c r="M110" t="s">
        <v>77</v>
      </c>
      <c r="N110" t="s">
        <v>78</v>
      </c>
      <c r="O110" t="s">
        <v>74</v>
      </c>
      <c r="P110" t="s">
        <v>74</v>
      </c>
      <c r="Q110" t="s">
        <v>74</v>
      </c>
      <c r="R110" t="s">
        <v>74</v>
      </c>
      <c r="S110" t="s">
        <v>74</v>
      </c>
      <c r="T110" t="s">
        <v>1610</v>
      </c>
      <c r="U110" t="s">
        <v>1611</v>
      </c>
      <c r="V110" t="s">
        <v>1612</v>
      </c>
      <c r="W110" t="s">
        <v>1613</v>
      </c>
      <c r="X110" t="s">
        <v>1542</v>
      </c>
      <c r="Y110" t="s">
        <v>1614</v>
      </c>
      <c r="Z110" t="s">
        <v>1615</v>
      </c>
      <c r="AA110" t="s">
        <v>74</v>
      </c>
      <c r="AB110" t="s">
        <v>74</v>
      </c>
      <c r="AC110" t="s">
        <v>74</v>
      </c>
      <c r="AD110" t="s">
        <v>74</v>
      </c>
      <c r="AE110" t="s">
        <v>74</v>
      </c>
      <c r="AF110" t="s">
        <v>74</v>
      </c>
      <c r="AG110">
        <v>21</v>
      </c>
      <c r="AH110">
        <v>15</v>
      </c>
      <c r="AI110">
        <v>17</v>
      </c>
      <c r="AJ110">
        <v>2</v>
      </c>
      <c r="AK110">
        <v>14</v>
      </c>
      <c r="AL110" t="s">
        <v>1039</v>
      </c>
      <c r="AM110" t="s">
        <v>1040</v>
      </c>
      <c r="AN110" t="s">
        <v>1547</v>
      </c>
      <c r="AO110" t="s">
        <v>1548</v>
      </c>
      <c r="AP110" t="s">
        <v>74</v>
      </c>
      <c r="AQ110" t="s">
        <v>74</v>
      </c>
      <c r="AR110" t="s">
        <v>1549</v>
      </c>
      <c r="AS110" t="s">
        <v>1550</v>
      </c>
      <c r="AT110" t="s">
        <v>74</v>
      </c>
      <c r="AU110">
        <v>2001</v>
      </c>
      <c r="AV110">
        <v>79</v>
      </c>
      <c r="AW110">
        <v>4</v>
      </c>
      <c r="AX110" t="s">
        <v>74</v>
      </c>
      <c r="AY110" t="s">
        <v>74</v>
      </c>
      <c r="AZ110" t="s">
        <v>74</v>
      </c>
      <c r="BA110" t="s">
        <v>74</v>
      </c>
      <c r="BB110">
        <v>349</v>
      </c>
      <c r="BC110">
        <v>365</v>
      </c>
      <c r="BD110" t="s">
        <v>74</v>
      </c>
      <c r="BE110" t="s">
        <v>1616</v>
      </c>
      <c r="BF110" t="str">
        <f>HYPERLINK("http://dx.doi.org/10.1080/03067310108044394","http://dx.doi.org/10.1080/03067310108044394")</f>
        <v>http://dx.doi.org/10.1080/03067310108044394</v>
      </c>
      <c r="BG110" t="s">
        <v>74</v>
      </c>
      <c r="BH110" t="s">
        <v>74</v>
      </c>
      <c r="BI110">
        <v>17</v>
      </c>
      <c r="BJ110" t="s">
        <v>1552</v>
      </c>
      <c r="BK110" t="s">
        <v>94</v>
      </c>
      <c r="BL110" t="s">
        <v>1553</v>
      </c>
      <c r="BM110" t="s">
        <v>1554</v>
      </c>
      <c r="BN110" t="s">
        <v>74</v>
      </c>
      <c r="BO110" t="s">
        <v>74</v>
      </c>
      <c r="BP110" t="s">
        <v>74</v>
      </c>
      <c r="BQ110" t="s">
        <v>74</v>
      </c>
      <c r="BR110" t="s">
        <v>97</v>
      </c>
      <c r="BS110" t="s">
        <v>1617</v>
      </c>
      <c r="BT110" t="str">
        <f>HYPERLINK("https%3A%2F%2Fwww.webofscience.com%2Fwos%2Fwoscc%2Ffull-record%2FWOS:000170583100008","View Full Record in Web of Science")</f>
        <v>View Full Record in Web of Science</v>
      </c>
    </row>
    <row r="111" spans="1:72" x14ac:dyDescent="0.15">
      <c r="A111" t="s">
        <v>72</v>
      </c>
      <c r="B111" t="s">
        <v>1618</v>
      </c>
      <c r="C111" t="s">
        <v>74</v>
      </c>
      <c r="D111" t="s">
        <v>74</v>
      </c>
      <c r="E111" t="s">
        <v>74</v>
      </c>
      <c r="F111" t="s">
        <v>1618</v>
      </c>
      <c r="G111" t="s">
        <v>74</v>
      </c>
      <c r="H111" t="s">
        <v>74</v>
      </c>
      <c r="I111" t="s">
        <v>1619</v>
      </c>
      <c r="J111" t="s">
        <v>1537</v>
      </c>
      <c r="K111" t="s">
        <v>74</v>
      </c>
      <c r="L111" t="s">
        <v>74</v>
      </c>
      <c r="M111" t="s">
        <v>77</v>
      </c>
      <c r="N111" t="s">
        <v>78</v>
      </c>
      <c r="O111" t="s">
        <v>74</v>
      </c>
      <c r="P111" t="s">
        <v>74</v>
      </c>
      <c r="Q111" t="s">
        <v>74</v>
      </c>
      <c r="R111" t="s">
        <v>74</v>
      </c>
      <c r="S111" t="s">
        <v>74</v>
      </c>
      <c r="T111" t="s">
        <v>1620</v>
      </c>
      <c r="U111" t="s">
        <v>1621</v>
      </c>
      <c r="V111" t="s">
        <v>1622</v>
      </c>
      <c r="W111" t="s">
        <v>1623</v>
      </c>
      <c r="X111" t="s">
        <v>1624</v>
      </c>
      <c r="Y111" t="s">
        <v>1625</v>
      </c>
      <c r="Z111" t="s">
        <v>1626</v>
      </c>
      <c r="AA111" t="s">
        <v>74</v>
      </c>
      <c r="AB111" t="s">
        <v>74</v>
      </c>
      <c r="AC111" t="s">
        <v>74</v>
      </c>
      <c r="AD111" t="s">
        <v>74</v>
      </c>
      <c r="AE111" t="s">
        <v>74</v>
      </c>
      <c r="AF111" t="s">
        <v>74</v>
      </c>
      <c r="AG111">
        <v>18</v>
      </c>
      <c r="AH111">
        <v>7</v>
      </c>
      <c r="AI111">
        <v>7</v>
      </c>
      <c r="AJ111">
        <v>0</v>
      </c>
      <c r="AK111">
        <v>10</v>
      </c>
      <c r="AL111" t="s">
        <v>1039</v>
      </c>
      <c r="AM111" t="s">
        <v>1040</v>
      </c>
      <c r="AN111" t="s">
        <v>1547</v>
      </c>
      <c r="AO111" t="s">
        <v>1548</v>
      </c>
      <c r="AP111" t="s">
        <v>1627</v>
      </c>
      <c r="AQ111" t="s">
        <v>74</v>
      </c>
      <c r="AR111" t="s">
        <v>1549</v>
      </c>
      <c r="AS111" t="s">
        <v>1550</v>
      </c>
      <c r="AT111" t="s">
        <v>74</v>
      </c>
      <c r="AU111">
        <v>2001</v>
      </c>
      <c r="AV111">
        <v>79</v>
      </c>
      <c r="AW111">
        <v>4</v>
      </c>
      <c r="AX111" t="s">
        <v>74</v>
      </c>
      <c r="AY111" t="s">
        <v>74</v>
      </c>
      <c r="AZ111" t="s">
        <v>74</v>
      </c>
      <c r="BA111" t="s">
        <v>74</v>
      </c>
      <c r="BB111">
        <v>367</v>
      </c>
      <c r="BC111">
        <v>378</v>
      </c>
      <c r="BD111" t="s">
        <v>74</v>
      </c>
      <c r="BE111" t="s">
        <v>1628</v>
      </c>
      <c r="BF111" t="str">
        <f>HYPERLINK("http://dx.doi.org/10.1080/03067310108044395","http://dx.doi.org/10.1080/03067310108044395")</f>
        <v>http://dx.doi.org/10.1080/03067310108044395</v>
      </c>
      <c r="BG111" t="s">
        <v>74</v>
      </c>
      <c r="BH111" t="s">
        <v>74</v>
      </c>
      <c r="BI111">
        <v>12</v>
      </c>
      <c r="BJ111" t="s">
        <v>1552</v>
      </c>
      <c r="BK111" t="s">
        <v>94</v>
      </c>
      <c r="BL111" t="s">
        <v>1553</v>
      </c>
      <c r="BM111" t="s">
        <v>1554</v>
      </c>
      <c r="BN111" t="s">
        <v>74</v>
      </c>
      <c r="BO111" t="s">
        <v>74</v>
      </c>
      <c r="BP111" t="s">
        <v>74</v>
      </c>
      <c r="BQ111" t="s">
        <v>74</v>
      </c>
      <c r="BR111" t="s">
        <v>97</v>
      </c>
      <c r="BS111" t="s">
        <v>1629</v>
      </c>
      <c r="BT111" t="str">
        <f>HYPERLINK("https%3A%2F%2Fwww.webofscience.com%2Fwos%2Fwoscc%2Ffull-record%2FWOS:000170583100009","View Full Record in Web of Science")</f>
        <v>View Full Record in Web of Science</v>
      </c>
    </row>
    <row r="112" spans="1:72" x14ac:dyDescent="0.15">
      <c r="A112" t="s">
        <v>72</v>
      </c>
      <c r="B112" t="s">
        <v>1630</v>
      </c>
      <c r="C112" t="s">
        <v>74</v>
      </c>
      <c r="D112" t="s">
        <v>74</v>
      </c>
      <c r="E112" t="s">
        <v>74</v>
      </c>
      <c r="F112" t="s">
        <v>1630</v>
      </c>
      <c r="G112" t="s">
        <v>74</v>
      </c>
      <c r="H112" t="s">
        <v>74</v>
      </c>
      <c r="I112" t="s">
        <v>1631</v>
      </c>
      <c r="J112" t="s">
        <v>1632</v>
      </c>
      <c r="K112" t="s">
        <v>74</v>
      </c>
      <c r="L112" t="s">
        <v>74</v>
      </c>
      <c r="M112" t="s">
        <v>77</v>
      </c>
      <c r="N112" t="s">
        <v>78</v>
      </c>
      <c r="O112" t="s">
        <v>74</v>
      </c>
      <c r="P112" t="s">
        <v>74</v>
      </c>
      <c r="Q112" t="s">
        <v>74</v>
      </c>
      <c r="R112" t="s">
        <v>74</v>
      </c>
      <c r="S112" t="s">
        <v>74</v>
      </c>
      <c r="T112" t="s">
        <v>74</v>
      </c>
      <c r="U112" t="s">
        <v>1633</v>
      </c>
      <c r="V112" t="s">
        <v>1634</v>
      </c>
      <c r="W112" t="s">
        <v>1635</v>
      </c>
      <c r="X112" t="s">
        <v>1636</v>
      </c>
      <c r="Y112" t="s">
        <v>1637</v>
      </c>
      <c r="Z112" t="s">
        <v>74</v>
      </c>
      <c r="AA112" t="s">
        <v>1638</v>
      </c>
      <c r="AB112" t="s">
        <v>1639</v>
      </c>
      <c r="AC112" t="s">
        <v>74</v>
      </c>
      <c r="AD112" t="s">
        <v>74</v>
      </c>
      <c r="AE112" t="s">
        <v>74</v>
      </c>
      <c r="AF112" t="s">
        <v>74</v>
      </c>
      <c r="AG112">
        <v>35</v>
      </c>
      <c r="AH112">
        <v>15</v>
      </c>
      <c r="AI112">
        <v>18</v>
      </c>
      <c r="AJ112">
        <v>0</v>
      </c>
      <c r="AK112">
        <v>3</v>
      </c>
      <c r="AL112" t="s">
        <v>1039</v>
      </c>
      <c r="AM112" t="s">
        <v>1040</v>
      </c>
      <c r="AN112" t="s">
        <v>1041</v>
      </c>
      <c r="AO112" t="s">
        <v>1640</v>
      </c>
      <c r="AP112" t="s">
        <v>1641</v>
      </c>
      <c r="AQ112" t="s">
        <v>74</v>
      </c>
      <c r="AR112" t="s">
        <v>1642</v>
      </c>
      <c r="AS112" t="s">
        <v>1643</v>
      </c>
      <c r="AT112" t="s">
        <v>91</v>
      </c>
      <c r="AU112">
        <v>2001</v>
      </c>
      <c r="AV112">
        <v>22</v>
      </c>
      <c r="AW112">
        <v>1</v>
      </c>
      <c r="AX112" t="s">
        <v>74</v>
      </c>
      <c r="AY112" t="s">
        <v>74</v>
      </c>
      <c r="AZ112" t="s">
        <v>74</v>
      </c>
      <c r="BA112" t="s">
        <v>74</v>
      </c>
      <c r="BB112">
        <v>113</v>
      </c>
      <c r="BC112">
        <v>139</v>
      </c>
      <c r="BD112" t="s">
        <v>74</v>
      </c>
      <c r="BE112" t="s">
        <v>1644</v>
      </c>
      <c r="BF112" t="str">
        <f>HYPERLINK("http://dx.doi.org/10.1080/014311601750038884","http://dx.doi.org/10.1080/014311601750038884")</f>
        <v>http://dx.doi.org/10.1080/014311601750038884</v>
      </c>
      <c r="BG112" t="s">
        <v>74</v>
      </c>
      <c r="BH112" t="s">
        <v>74</v>
      </c>
      <c r="BI112">
        <v>27</v>
      </c>
      <c r="BJ112" t="s">
        <v>1645</v>
      </c>
      <c r="BK112" t="s">
        <v>94</v>
      </c>
      <c r="BL112" t="s">
        <v>1645</v>
      </c>
      <c r="BM112" t="s">
        <v>1646</v>
      </c>
      <c r="BN112" t="s">
        <v>74</v>
      </c>
      <c r="BO112" t="s">
        <v>74</v>
      </c>
      <c r="BP112" t="s">
        <v>74</v>
      </c>
      <c r="BQ112" t="s">
        <v>74</v>
      </c>
      <c r="BR112" t="s">
        <v>97</v>
      </c>
      <c r="BS112" t="s">
        <v>1647</v>
      </c>
      <c r="BT112" t="str">
        <f>HYPERLINK("https%3A%2F%2Fwww.webofscience.com%2Fwos%2Fwoscc%2Ffull-record%2FWOS:000165844400008","View Full Record in Web of Science")</f>
        <v>View Full Record in Web of Science</v>
      </c>
    </row>
    <row r="113" spans="1:72" x14ac:dyDescent="0.15">
      <c r="A113" t="s">
        <v>72</v>
      </c>
      <c r="B113" t="s">
        <v>1648</v>
      </c>
      <c r="C113" t="s">
        <v>74</v>
      </c>
      <c r="D113" t="s">
        <v>74</v>
      </c>
      <c r="E113" t="s">
        <v>74</v>
      </c>
      <c r="F113" t="s">
        <v>1648</v>
      </c>
      <c r="G113" t="s">
        <v>74</v>
      </c>
      <c r="H113" t="s">
        <v>74</v>
      </c>
      <c r="I113" t="s">
        <v>1649</v>
      </c>
      <c r="J113" t="s">
        <v>1632</v>
      </c>
      <c r="K113" t="s">
        <v>74</v>
      </c>
      <c r="L113" t="s">
        <v>74</v>
      </c>
      <c r="M113" t="s">
        <v>77</v>
      </c>
      <c r="N113" t="s">
        <v>78</v>
      </c>
      <c r="O113" t="s">
        <v>74</v>
      </c>
      <c r="P113" t="s">
        <v>74</v>
      </c>
      <c r="Q113" t="s">
        <v>74</v>
      </c>
      <c r="R113" t="s">
        <v>74</v>
      </c>
      <c r="S113" t="s">
        <v>74</v>
      </c>
      <c r="T113" t="s">
        <v>74</v>
      </c>
      <c r="U113" t="s">
        <v>1650</v>
      </c>
      <c r="V113" t="s">
        <v>1651</v>
      </c>
      <c r="W113" t="s">
        <v>1652</v>
      </c>
      <c r="X113" t="s">
        <v>1653</v>
      </c>
      <c r="Y113" t="s">
        <v>1654</v>
      </c>
      <c r="Z113" t="s">
        <v>74</v>
      </c>
      <c r="AA113" t="s">
        <v>74</v>
      </c>
      <c r="AB113" t="s">
        <v>1655</v>
      </c>
      <c r="AC113" t="s">
        <v>74</v>
      </c>
      <c r="AD113" t="s">
        <v>74</v>
      </c>
      <c r="AE113" t="s">
        <v>74</v>
      </c>
      <c r="AF113" t="s">
        <v>74</v>
      </c>
      <c r="AG113">
        <v>24</v>
      </c>
      <c r="AH113">
        <v>38</v>
      </c>
      <c r="AI113">
        <v>47</v>
      </c>
      <c r="AJ113">
        <v>0</v>
      </c>
      <c r="AK113">
        <v>15</v>
      </c>
      <c r="AL113" t="s">
        <v>1039</v>
      </c>
      <c r="AM113" t="s">
        <v>1208</v>
      </c>
      <c r="AN113" t="s">
        <v>1656</v>
      </c>
      <c r="AO113" t="s">
        <v>1640</v>
      </c>
      <c r="AP113" t="s">
        <v>74</v>
      </c>
      <c r="AQ113" t="s">
        <v>74</v>
      </c>
      <c r="AR113" t="s">
        <v>1642</v>
      </c>
      <c r="AS113" t="s">
        <v>1643</v>
      </c>
      <c r="AT113" t="s">
        <v>91</v>
      </c>
      <c r="AU113">
        <v>2001</v>
      </c>
      <c r="AV113">
        <v>22</v>
      </c>
      <c r="AW113" t="s">
        <v>165</v>
      </c>
      <c r="AX113" t="s">
        <v>74</v>
      </c>
      <c r="AY113" t="s">
        <v>74</v>
      </c>
      <c r="AZ113" t="s">
        <v>74</v>
      </c>
      <c r="BA113" t="s">
        <v>74</v>
      </c>
      <c r="BB113">
        <v>369</v>
      </c>
      <c r="BC113">
        <v>384</v>
      </c>
      <c r="BD113" t="s">
        <v>74</v>
      </c>
      <c r="BE113" t="s">
        <v>1657</v>
      </c>
      <c r="BF113" t="str">
        <f>HYPERLINK("http://dx.doi.org/10.1080/014311601449989","http://dx.doi.org/10.1080/014311601449989")</f>
        <v>http://dx.doi.org/10.1080/014311601449989</v>
      </c>
      <c r="BG113" t="s">
        <v>74</v>
      </c>
      <c r="BH113" t="s">
        <v>74</v>
      </c>
      <c r="BI113">
        <v>16</v>
      </c>
      <c r="BJ113" t="s">
        <v>1645</v>
      </c>
      <c r="BK113" t="s">
        <v>94</v>
      </c>
      <c r="BL113" t="s">
        <v>1645</v>
      </c>
      <c r="BM113" t="s">
        <v>1658</v>
      </c>
      <c r="BN113" t="s">
        <v>74</v>
      </c>
      <c r="BO113" t="s">
        <v>74</v>
      </c>
      <c r="BP113" t="s">
        <v>74</v>
      </c>
      <c r="BQ113" t="s">
        <v>74</v>
      </c>
      <c r="BR113" t="s">
        <v>97</v>
      </c>
      <c r="BS113" t="s">
        <v>1659</v>
      </c>
      <c r="BT113" t="str">
        <f>HYPERLINK("https%3A%2F%2Fwww.webofscience.com%2Fwos%2Fwoscc%2Ffull-record%2FWOS:000166471600010","View Full Record in Web of Science")</f>
        <v>View Full Record in Web of Science</v>
      </c>
    </row>
    <row r="114" spans="1:72" x14ac:dyDescent="0.15">
      <c r="A114" t="s">
        <v>1106</v>
      </c>
      <c r="B114" t="s">
        <v>1660</v>
      </c>
      <c r="C114" t="s">
        <v>74</v>
      </c>
      <c r="D114" t="s">
        <v>1661</v>
      </c>
      <c r="E114" t="s">
        <v>74</v>
      </c>
      <c r="F114" t="s">
        <v>1660</v>
      </c>
      <c r="G114" t="s">
        <v>74</v>
      </c>
      <c r="H114" t="s">
        <v>74</v>
      </c>
      <c r="I114" t="s">
        <v>1662</v>
      </c>
      <c r="J114" t="s">
        <v>1663</v>
      </c>
      <c r="K114" t="s">
        <v>1111</v>
      </c>
      <c r="L114" t="s">
        <v>74</v>
      </c>
      <c r="M114" t="s">
        <v>77</v>
      </c>
      <c r="N114" t="s">
        <v>576</v>
      </c>
      <c r="O114" t="s">
        <v>1664</v>
      </c>
      <c r="P114" t="s">
        <v>1665</v>
      </c>
      <c r="Q114" t="s">
        <v>1666</v>
      </c>
      <c r="R114" t="s">
        <v>74</v>
      </c>
      <c r="S114" t="s">
        <v>1667</v>
      </c>
      <c r="T114" t="s">
        <v>74</v>
      </c>
      <c r="U114" t="s">
        <v>1668</v>
      </c>
      <c r="V114" t="s">
        <v>1669</v>
      </c>
      <c r="W114" t="s">
        <v>1670</v>
      </c>
      <c r="X114" t="s">
        <v>1671</v>
      </c>
      <c r="Y114" t="s">
        <v>1672</v>
      </c>
      <c r="Z114" t="s">
        <v>74</v>
      </c>
      <c r="AA114" t="s">
        <v>74</v>
      </c>
      <c r="AB114" t="s">
        <v>74</v>
      </c>
      <c r="AC114" t="s">
        <v>74</v>
      </c>
      <c r="AD114" t="s">
        <v>74</v>
      </c>
      <c r="AE114" t="s">
        <v>74</v>
      </c>
      <c r="AF114" t="s">
        <v>74</v>
      </c>
      <c r="AG114">
        <v>10</v>
      </c>
      <c r="AH114">
        <v>8</v>
      </c>
      <c r="AI114">
        <v>8</v>
      </c>
      <c r="AJ114">
        <v>0</v>
      </c>
      <c r="AK114">
        <v>0</v>
      </c>
      <c r="AL114" t="s">
        <v>1120</v>
      </c>
      <c r="AM114" t="s">
        <v>1121</v>
      </c>
      <c r="AN114" t="s">
        <v>1122</v>
      </c>
      <c r="AO114" t="s">
        <v>1123</v>
      </c>
      <c r="AP114" t="s">
        <v>74</v>
      </c>
      <c r="AQ114" t="s">
        <v>74</v>
      </c>
      <c r="AR114" t="s">
        <v>1124</v>
      </c>
      <c r="AS114" t="s">
        <v>74</v>
      </c>
      <c r="AT114" t="s">
        <v>74</v>
      </c>
      <c r="AU114">
        <v>2001</v>
      </c>
      <c r="AV114">
        <v>27</v>
      </c>
      <c r="AW114">
        <v>1</v>
      </c>
      <c r="AX114" t="s">
        <v>74</v>
      </c>
      <c r="AY114" t="s">
        <v>74</v>
      </c>
      <c r="AZ114" t="s">
        <v>74</v>
      </c>
      <c r="BA114" t="s">
        <v>74</v>
      </c>
      <c r="BB114">
        <v>49</v>
      </c>
      <c r="BC114">
        <v>60</v>
      </c>
      <c r="BD114" t="s">
        <v>74</v>
      </c>
      <c r="BE114" t="s">
        <v>1673</v>
      </c>
      <c r="BF114" t="str">
        <f>HYPERLINK("http://dx.doi.org/10.1016/S0273-1177(00)00164-2","http://dx.doi.org/10.1016/S0273-1177(00)00164-2")</f>
        <v>http://dx.doi.org/10.1016/S0273-1177(00)00164-2</v>
      </c>
      <c r="BG114" t="s">
        <v>74</v>
      </c>
      <c r="BH114" t="s">
        <v>74</v>
      </c>
      <c r="BI114">
        <v>12</v>
      </c>
      <c r="BJ114" t="s">
        <v>1126</v>
      </c>
      <c r="BK114" t="s">
        <v>596</v>
      </c>
      <c r="BL114" t="s">
        <v>1127</v>
      </c>
      <c r="BM114" t="s">
        <v>1674</v>
      </c>
      <c r="BN114" t="s">
        <v>74</v>
      </c>
      <c r="BO114" t="s">
        <v>74</v>
      </c>
      <c r="BP114" t="s">
        <v>74</v>
      </c>
      <c r="BQ114" t="s">
        <v>74</v>
      </c>
      <c r="BR114" t="s">
        <v>97</v>
      </c>
      <c r="BS114" t="s">
        <v>1675</v>
      </c>
      <c r="BT114" t="str">
        <f>HYPERLINK("https%3A%2F%2Fwww.webofscience.com%2Fwos%2Fwoscc%2Ffull-record%2FWOS:000169859500009","View Full Record in Web of Science")</f>
        <v>View Full Record in Web of Science</v>
      </c>
    </row>
    <row r="115" spans="1:72" x14ac:dyDescent="0.15">
      <c r="A115" t="s">
        <v>72</v>
      </c>
      <c r="B115" t="s">
        <v>1676</v>
      </c>
      <c r="C115" t="s">
        <v>74</v>
      </c>
      <c r="D115" t="s">
        <v>74</v>
      </c>
      <c r="E115" t="s">
        <v>74</v>
      </c>
      <c r="F115" t="s">
        <v>1676</v>
      </c>
      <c r="G115" t="s">
        <v>74</v>
      </c>
      <c r="H115" t="s">
        <v>74</v>
      </c>
      <c r="I115" t="s">
        <v>1677</v>
      </c>
      <c r="J115" t="s">
        <v>1678</v>
      </c>
      <c r="K115" t="s">
        <v>74</v>
      </c>
      <c r="L115" t="s">
        <v>74</v>
      </c>
      <c r="M115" t="s">
        <v>77</v>
      </c>
      <c r="N115" t="s">
        <v>78</v>
      </c>
      <c r="O115" t="s">
        <v>74</v>
      </c>
      <c r="P115" t="s">
        <v>74</v>
      </c>
      <c r="Q115" t="s">
        <v>74</v>
      </c>
      <c r="R115" t="s">
        <v>74</v>
      </c>
      <c r="S115" t="s">
        <v>74</v>
      </c>
      <c r="T115" t="s">
        <v>74</v>
      </c>
      <c r="U115" t="s">
        <v>1679</v>
      </c>
      <c r="V115" t="s">
        <v>1680</v>
      </c>
      <c r="W115" t="s">
        <v>1681</v>
      </c>
      <c r="X115" t="s">
        <v>1682</v>
      </c>
      <c r="Y115" t="s">
        <v>1683</v>
      </c>
      <c r="Z115" t="s">
        <v>74</v>
      </c>
      <c r="AA115" t="s">
        <v>74</v>
      </c>
      <c r="AB115" t="s">
        <v>74</v>
      </c>
      <c r="AC115" t="s">
        <v>74</v>
      </c>
      <c r="AD115" t="s">
        <v>74</v>
      </c>
      <c r="AE115" t="s">
        <v>74</v>
      </c>
      <c r="AF115" t="s">
        <v>74</v>
      </c>
      <c r="AG115">
        <v>59</v>
      </c>
      <c r="AH115">
        <v>29</v>
      </c>
      <c r="AI115">
        <v>36</v>
      </c>
      <c r="AJ115">
        <v>0</v>
      </c>
      <c r="AK115">
        <v>16</v>
      </c>
      <c r="AL115" t="s">
        <v>669</v>
      </c>
      <c r="AM115" t="s">
        <v>670</v>
      </c>
      <c r="AN115" t="s">
        <v>671</v>
      </c>
      <c r="AO115" t="s">
        <v>1684</v>
      </c>
      <c r="AP115" t="s">
        <v>74</v>
      </c>
      <c r="AQ115" t="s">
        <v>74</v>
      </c>
      <c r="AR115" t="s">
        <v>1685</v>
      </c>
      <c r="AS115" t="s">
        <v>1686</v>
      </c>
      <c r="AT115" t="s">
        <v>74</v>
      </c>
      <c r="AU115">
        <v>2001</v>
      </c>
      <c r="AV115">
        <v>15</v>
      </c>
      <c r="AW115">
        <v>1</v>
      </c>
      <c r="AX115" t="s">
        <v>74</v>
      </c>
      <c r="AY115" t="s">
        <v>74</v>
      </c>
      <c r="AZ115" t="s">
        <v>74</v>
      </c>
      <c r="BA115" t="s">
        <v>74</v>
      </c>
      <c r="BB115">
        <v>13</v>
      </c>
      <c r="BC115">
        <v>35</v>
      </c>
      <c r="BD115" t="s">
        <v>74</v>
      </c>
      <c r="BE115" t="s">
        <v>1687</v>
      </c>
      <c r="BF115" t="str">
        <f>HYPERLINK("http://dx.doi.org/10.1071/IT99018","http://dx.doi.org/10.1071/IT99018")</f>
        <v>http://dx.doi.org/10.1071/IT99018</v>
      </c>
      <c r="BG115" t="s">
        <v>74</v>
      </c>
      <c r="BH115" t="s">
        <v>74</v>
      </c>
      <c r="BI115">
        <v>23</v>
      </c>
      <c r="BJ115" t="s">
        <v>206</v>
      </c>
      <c r="BK115" t="s">
        <v>94</v>
      </c>
      <c r="BL115" t="s">
        <v>206</v>
      </c>
      <c r="BM115" t="s">
        <v>1688</v>
      </c>
      <c r="BN115" t="s">
        <v>74</v>
      </c>
      <c r="BO115" t="s">
        <v>74</v>
      </c>
      <c r="BP115" t="s">
        <v>74</v>
      </c>
      <c r="BQ115" t="s">
        <v>74</v>
      </c>
      <c r="BR115" t="s">
        <v>97</v>
      </c>
      <c r="BS115" t="s">
        <v>1689</v>
      </c>
      <c r="BT115" t="str">
        <f>HYPERLINK("https%3A%2F%2Fwww.webofscience.com%2Fwos%2Fwoscc%2Ffull-record%2FWOS:000167473800002","View Full Record in Web of Science")</f>
        <v>View Full Record in Web of Science</v>
      </c>
    </row>
    <row r="116" spans="1:72" x14ac:dyDescent="0.15">
      <c r="A116" t="s">
        <v>72</v>
      </c>
      <c r="B116" t="s">
        <v>1690</v>
      </c>
      <c r="C116" t="s">
        <v>74</v>
      </c>
      <c r="D116" t="s">
        <v>74</v>
      </c>
      <c r="E116" t="s">
        <v>74</v>
      </c>
      <c r="F116" t="s">
        <v>1690</v>
      </c>
      <c r="G116" t="s">
        <v>74</v>
      </c>
      <c r="H116" t="s">
        <v>74</v>
      </c>
      <c r="I116" t="s">
        <v>1691</v>
      </c>
      <c r="J116" t="s">
        <v>1678</v>
      </c>
      <c r="K116" t="s">
        <v>74</v>
      </c>
      <c r="L116" t="s">
        <v>74</v>
      </c>
      <c r="M116" t="s">
        <v>77</v>
      </c>
      <c r="N116" t="s">
        <v>78</v>
      </c>
      <c r="O116" t="s">
        <v>74</v>
      </c>
      <c r="P116" t="s">
        <v>74</v>
      </c>
      <c r="Q116" t="s">
        <v>74</v>
      </c>
      <c r="R116" t="s">
        <v>74</v>
      </c>
      <c r="S116" t="s">
        <v>74</v>
      </c>
      <c r="T116" t="s">
        <v>74</v>
      </c>
      <c r="U116" t="s">
        <v>74</v>
      </c>
      <c r="V116" t="s">
        <v>1692</v>
      </c>
      <c r="W116" t="s">
        <v>1693</v>
      </c>
      <c r="X116" t="s">
        <v>1694</v>
      </c>
      <c r="Y116" t="s">
        <v>1695</v>
      </c>
      <c r="Z116" t="s">
        <v>74</v>
      </c>
      <c r="AA116" t="s">
        <v>1696</v>
      </c>
      <c r="AB116" t="s">
        <v>1697</v>
      </c>
      <c r="AC116" t="s">
        <v>74</v>
      </c>
      <c r="AD116" t="s">
        <v>74</v>
      </c>
      <c r="AE116" t="s">
        <v>74</v>
      </c>
      <c r="AF116" t="s">
        <v>74</v>
      </c>
      <c r="AG116">
        <v>11</v>
      </c>
      <c r="AH116">
        <v>7</v>
      </c>
      <c r="AI116">
        <v>7</v>
      </c>
      <c r="AJ116">
        <v>0</v>
      </c>
      <c r="AK116">
        <v>4</v>
      </c>
      <c r="AL116" t="s">
        <v>669</v>
      </c>
      <c r="AM116" t="s">
        <v>670</v>
      </c>
      <c r="AN116" t="s">
        <v>671</v>
      </c>
      <c r="AO116" t="s">
        <v>1684</v>
      </c>
      <c r="AP116" t="s">
        <v>74</v>
      </c>
      <c r="AQ116" t="s">
        <v>74</v>
      </c>
      <c r="AR116" t="s">
        <v>1685</v>
      </c>
      <c r="AS116" t="s">
        <v>1686</v>
      </c>
      <c r="AT116" t="s">
        <v>74</v>
      </c>
      <c r="AU116">
        <v>2001</v>
      </c>
      <c r="AV116">
        <v>15</v>
      </c>
      <c r="AW116">
        <v>2</v>
      </c>
      <c r="AX116" t="s">
        <v>74</v>
      </c>
      <c r="AY116" t="s">
        <v>74</v>
      </c>
      <c r="AZ116" t="s">
        <v>74</v>
      </c>
      <c r="BA116" t="s">
        <v>74</v>
      </c>
      <c r="BB116">
        <v>205</v>
      </c>
      <c r="BC116">
        <v>216</v>
      </c>
      <c r="BD116" t="s">
        <v>74</v>
      </c>
      <c r="BE116" t="s">
        <v>1698</v>
      </c>
      <c r="BF116" t="str">
        <f>HYPERLINK("http://dx.doi.org/10.1071/IT96033","http://dx.doi.org/10.1071/IT96033")</f>
        <v>http://dx.doi.org/10.1071/IT96033</v>
      </c>
      <c r="BG116" t="s">
        <v>74</v>
      </c>
      <c r="BH116" t="s">
        <v>74</v>
      </c>
      <c r="BI116">
        <v>12</v>
      </c>
      <c r="BJ116" t="s">
        <v>206</v>
      </c>
      <c r="BK116" t="s">
        <v>94</v>
      </c>
      <c r="BL116" t="s">
        <v>206</v>
      </c>
      <c r="BM116" t="s">
        <v>1699</v>
      </c>
      <c r="BN116" t="s">
        <v>74</v>
      </c>
      <c r="BO116" t="s">
        <v>74</v>
      </c>
      <c r="BP116" t="s">
        <v>74</v>
      </c>
      <c r="BQ116" t="s">
        <v>74</v>
      </c>
      <c r="BR116" t="s">
        <v>97</v>
      </c>
      <c r="BS116" t="s">
        <v>1700</v>
      </c>
      <c r="BT116" t="str">
        <f>HYPERLINK("https%3A%2F%2Fwww.webofscience.com%2Fwos%2Fwoscc%2Ffull-record%2FWOS:000168305500002","View Full Record in Web of Science")</f>
        <v>View Full Record in Web of Science</v>
      </c>
    </row>
    <row r="117" spans="1:72" x14ac:dyDescent="0.15">
      <c r="A117" t="s">
        <v>209</v>
      </c>
      <c r="B117" t="s">
        <v>1701</v>
      </c>
      <c r="C117" t="s">
        <v>74</v>
      </c>
      <c r="D117" t="s">
        <v>1702</v>
      </c>
      <c r="E117" t="s">
        <v>74</v>
      </c>
      <c r="F117" t="s">
        <v>1701</v>
      </c>
      <c r="G117" t="s">
        <v>74</v>
      </c>
      <c r="H117" t="s">
        <v>74</v>
      </c>
      <c r="I117" t="s">
        <v>1703</v>
      </c>
      <c r="J117" t="s">
        <v>1704</v>
      </c>
      <c r="K117" t="s">
        <v>1705</v>
      </c>
      <c r="L117" t="s">
        <v>74</v>
      </c>
      <c r="M117" t="s">
        <v>77</v>
      </c>
      <c r="N117" t="s">
        <v>214</v>
      </c>
      <c r="O117" t="s">
        <v>1706</v>
      </c>
      <c r="P117" t="s">
        <v>1707</v>
      </c>
      <c r="Q117" t="s">
        <v>1708</v>
      </c>
      <c r="R117" t="s">
        <v>74</v>
      </c>
      <c r="S117" t="s">
        <v>1709</v>
      </c>
      <c r="T117" t="s">
        <v>74</v>
      </c>
      <c r="U117" t="s">
        <v>74</v>
      </c>
      <c r="V117" t="s">
        <v>1710</v>
      </c>
      <c r="W117" t="s">
        <v>1711</v>
      </c>
      <c r="X117" t="s">
        <v>1712</v>
      </c>
      <c r="Y117" t="s">
        <v>1713</v>
      </c>
      <c r="Z117" t="s">
        <v>74</v>
      </c>
      <c r="AA117" t="s">
        <v>74</v>
      </c>
      <c r="AB117" t="s">
        <v>74</v>
      </c>
      <c r="AC117" t="s">
        <v>74</v>
      </c>
      <c r="AD117" t="s">
        <v>74</v>
      </c>
      <c r="AE117" t="s">
        <v>74</v>
      </c>
      <c r="AF117" t="s">
        <v>74</v>
      </c>
      <c r="AG117">
        <v>4</v>
      </c>
      <c r="AH117">
        <v>1</v>
      </c>
      <c r="AI117">
        <v>1</v>
      </c>
      <c r="AJ117">
        <v>0</v>
      </c>
      <c r="AK117">
        <v>1</v>
      </c>
      <c r="AL117" t="s">
        <v>1714</v>
      </c>
      <c r="AM117" t="s">
        <v>1715</v>
      </c>
      <c r="AN117" t="s">
        <v>1716</v>
      </c>
      <c r="AO117" t="s">
        <v>74</v>
      </c>
      <c r="AP117" t="s">
        <v>74</v>
      </c>
      <c r="AQ117" t="s">
        <v>1717</v>
      </c>
      <c r="AR117" t="s">
        <v>1718</v>
      </c>
      <c r="AS117" t="s">
        <v>74</v>
      </c>
      <c r="AT117" t="s">
        <v>74</v>
      </c>
      <c r="AU117">
        <v>2001</v>
      </c>
      <c r="AV117" t="s">
        <v>74</v>
      </c>
      <c r="AW117" t="s">
        <v>74</v>
      </c>
      <c r="AX117" t="s">
        <v>74</v>
      </c>
      <c r="AY117" t="s">
        <v>74</v>
      </c>
      <c r="AZ117" t="s">
        <v>74</v>
      </c>
      <c r="BA117" t="s">
        <v>74</v>
      </c>
      <c r="BB117">
        <v>867</v>
      </c>
      <c r="BC117">
        <v>868</v>
      </c>
      <c r="BD117" t="s">
        <v>74</v>
      </c>
      <c r="BE117" t="s">
        <v>74</v>
      </c>
      <c r="BF117" t="s">
        <v>74</v>
      </c>
      <c r="BG117" t="s">
        <v>74</v>
      </c>
      <c r="BH117" t="s">
        <v>74</v>
      </c>
      <c r="BI117">
        <v>2</v>
      </c>
      <c r="BJ117" t="s">
        <v>1719</v>
      </c>
      <c r="BK117" t="s">
        <v>229</v>
      </c>
      <c r="BL117" t="s">
        <v>1720</v>
      </c>
      <c r="BM117" t="s">
        <v>1721</v>
      </c>
      <c r="BN117" t="s">
        <v>74</v>
      </c>
      <c r="BO117" t="s">
        <v>74</v>
      </c>
      <c r="BP117" t="s">
        <v>74</v>
      </c>
      <c r="BQ117" t="s">
        <v>74</v>
      </c>
      <c r="BR117" t="s">
        <v>97</v>
      </c>
      <c r="BS117" t="s">
        <v>1722</v>
      </c>
      <c r="BT117" t="str">
        <f>HYPERLINK("https%3A%2F%2Fwww.webofscience.com%2Fwos%2Fwoscc%2Ffull-record%2FWOS:000176920100222","View Full Record in Web of Science")</f>
        <v>View Full Record in Web of Science</v>
      </c>
    </row>
    <row r="118" spans="1:72" x14ac:dyDescent="0.15">
      <c r="A118" t="s">
        <v>209</v>
      </c>
      <c r="B118" t="s">
        <v>1723</v>
      </c>
      <c r="C118" t="s">
        <v>74</v>
      </c>
      <c r="D118" t="s">
        <v>1724</v>
      </c>
      <c r="E118" t="s">
        <v>74</v>
      </c>
      <c r="F118" t="s">
        <v>1723</v>
      </c>
      <c r="G118" t="s">
        <v>74</v>
      </c>
      <c r="H118" t="s">
        <v>74</v>
      </c>
      <c r="I118" t="s">
        <v>1725</v>
      </c>
      <c r="J118" t="s">
        <v>1726</v>
      </c>
      <c r="K118" t="s">
        <v>1727</v>
      </c>
      <c r="L118" t="s">
        <v>74</v>
      </c>
      <c r="M118" t="s">
        <v>77</v>
      </c>
      <c r="N118" t="s">
        <v>214</v>
      </c>
      <c r="O118" t="s">
        <v>1728</v>
      </c>
      <c r="P118" t="s">
        <v>1729</v>
      </c>
      <c r="Q118" t="s">
        <v>1730</v>
      </c>
      <c r="R118" t="s">
        <v>74</v>
      </c>
      <c r="S118" t="s">
        <v>74</v>
      </c>
      <c r="T118" t="s">
        <v>74</v>
      </c>
      <c r="U118" t="s">
        <v>1731</v>
      </c>
      <c r="V118" t="s">
        <v>1732</v>
      </c>
      <c r="W118" t="s">
        <v>1733</v>
      </c>
      <c r="X118" t="s">
        <v>1734</v>
      </c>
      <c r="Y118" t="s">
        <v>1735</v>
      </c>
      <c r="Z118" t="s">
        <v>74</v>
      </c>
      <c r="AA118" t="s">
        <v>74</v>
      </c>
      <c r="AB118" t="s">
        <v>74</v>
      </c>
      <c r="AC118" t="s">
        <v>74</v>
      </c>
      <c r="AD118" t="s">
        <v>74</v>
      </c>
      <c r="AE118" t="s">
        <v>74</v>
      </c>
      <c r="AF118" t="s">
        <v>74</v>
      </c>
      <c r="AG118">
        <v>430</v>
      </c>
      <c r="AH118">
        <v>64</v>
      </c>
      <c r="AI118">
        <v>72</v>
      </c>
      <c r="AJ118">
        <v>0</v>
      </c>
      <c r="AK118">
        <v>4</v>
      </c>
      <c r="AL118" t="s">
        <v>224</v>
      </c>
      <c r="AM118" t="s">
        <v>225</v>
      </c>
      <c r="AN118" t="s">
        <v>226</v>
      </c>
      <c r="AO118" t="s">
        <v>1736</v>
      </c>
      <c r="AP118" t="s">
        <v>74</v>
      </c>
      <c r="AQ118" t="s">
        <v>1737</v>
      </c>
      <c r="AR118" t="s">
        <v>1738</v>
      </c>
      <c r="AS118" t="s">
        <v>1739</v>
      </c>
      <c r="AT118" t="s">
        <v>74</v>
      </c>
      <c r="AU118">
        <v>2001</v>
      </c>
      <c r="AV118">
        <v>13</v>
      </c>
      <c r="AW118" t="s">
        <v>74</v>
      </c>
      <c r="AX118" t="s">
        <v>74</v>
      </c>
      <c r="AY118" t="s">
        <v>74</v>
      </c>
      <c r="AZ118" t="s">
        <v>74</v>
      </c>
      <c r="BA118" t="s">
        <v>74</v>
      </c>
      <c r="BB118">
        <v>205</v>
      </c>
      <c r="BC118">
        <v>264</v>
      </c>
      <c r="BD118" t="s">
        <v>74</v>
      </c>
      <c r="BE118" t="s">
        <v>74</v>
      </c>
      <c r="BF118" t="s">
        <v>74</v>
      </c>
      <c r="BG118" t="s">
        <v>74</v>
      </c>
      <c r="BH118" t="s">
        <v>74</v>
      </c>
      <c r="BI118">
        <v>60</v>
      </c>
      <c r="BJ118" t="s">
        <v>1259</v>
      </c>
      <c r="BK118" t="s">
        <v>229</v>
      </c>
      <c r="BL118" t="s">
        <v>1259</v>
      </c>
      <c r="BM118" t="s">
        <v>1740</v>
      </c>
      <c r="BN118" t="s">
        <v>74</v>
      </c>
      <c r="BO118" t="s">
        <v>74</v>
      </c>
      <c r="BP118" t="s">
        <v>74</v>
      </c>
      <c r="BQ118" t="s">
        <v>74</v>
      </c>
      <c r="BR118" t="s">
        <v>97</v>
      </c>
      <c r="BS118" t="s">
        <v>1741</v>
      </c>
      <c r="BT118" t="str">
        <f>HYPERLINK("https%3A%2F%2Fwww.webofscience.com%2Fwos%2Fwoscc%2Ffull-record%2FWOS:000169154800006","View Full Record in Web of Science")</f>
        <v>View Full Record in Web of Science</v>
      </c>
    </row>
    <row r="119" spans="1:72" x14ac:dyDescent="0.15">
      <c r="A119" t="s">
        <v>72</v>
      </c>
      <c r="B119" t="s">
        <v>1742</v>
      </c>
      <c r="C119" t="s">
        <v>74</v>
      </c>
      <c r="D119" t="s">
        <v>74</v>
      </c>
      <c r="E119" t="s">
        <v>74</v>
      </c>
      <c r="F119" t="s">
        <v>1742</v>
      </c>
      <c r="G119" t="s">
        <v>74</v>
      </c>
      <c r="H119" t="s">
        <v>74</v>
      </c>
      <c r="I119" t="s">
        <v>1743</v>
      </c>
      <c r="J119" t="s">
        <v>1744</v>
      </c>
      <c r="K119" t="s">
        <v>74</v>
      </c>
      <c r="L119" t="s">
        <v>74</v>
      </c>
      <c r="M119" t="s">
        <v>77</v>
      </c>
      <c r="N119" t="s">
        <v>78</v>
      </c>
      <c r="O119" t="s">
        <v>74</v>
      </c>
      <c r="P119" t="s">
        <v>74</v>
      </c>
      <c r="Q119" t="s">
        <v>74</v>
      </c>
      <c r="R119" t="s">
        <v>74</v>
      </c>
      <c r="S119" t="s">
        <v>74</v>
      </c>
      <c r="T119" t="s">
        <v>1745</v>
      </c>
      <c r="U119" t="s">
        <v>74</v>
      </c>
      <c r="V119" t="s">
        <v>1746</v>
      </c>
      <c r="W119" t="s">
        <v>1747</v>
      </c>
      <c r="X119" t="s">
        <v>1590</v>
      </c>
      <c r="Y119" t="s">
        <v>1748</v>
      </c>
      <c r="Z119" t="s">
        <v>74</v>
      </c>
      <c r="AA119" t="s">
        <v>74</v>
      </c>
      <c r="AB119" t="s">
        <v>74</v>
      </c>
      <c r="AC119" t="s">
        <v>74</v>
      </c>
      <c r="AD119" t="s">
        <v>74</v>
      </c>
      <c r="AE119" t="s">
        <v>74</v>
      </c>
      <c r="AF119" t="s">
        <v>74</v>
      </c>
      <c r="AG119">
        <v>46</v>
      </c>
      <c r="AH119">
        <v>14</v>
      </c>
      <c r="AI119">
        <v>16</v>
      </c>
      <c r="AJ119">
        <v>0</v>
      </c>
      <c r="AK119">
        <v>6</v>
      </c>
      <c r="AL119" t="s">
        <v>1039</v>
      </c>
      <c r="AM119" t="s">
        <v>1040</v>
      </c>
      <c r="AN119" t="s">
        <v>1041</v>
      </c>
      <c r="AO119" t="s">
        <v>1749</v>
      </c>
      <c r="AP119" t="s">
        <v>1750</v>
      </c>
      <c r="AQ119" t="s">
        <v>74</v>
      </c>
      <c r="AR119" t="s">
        <v>1751</v>
      </c>
      <c r="AS119" t="s">
        <v>1752</v>
      </c>
      <c r="AT119" t="s">
        <v>74</v>
      </c>
      <c r="AU119">
        <v>2001</v>
      </c>
      <c r="AV119">
        <v>68</v>
      </c>
      <c r="AW119">
        <v>4</v>
      </c>
      <c r="AX119" t="s">
        <v>74</v>
      </c>
      <c r="AY119" t="s">
        <v>74</v>
      </c>
      <c r="AZ119" t="s">
        <v>74</v>
      </c>
      <c r="BA119" t="s">
        <v>74</v>
      </c>
      <c r="BB119">
        <v>335</v>
      </c>
      <c r="BC119">
        <v>344</v>
      </c>
      <c r="BD119" t="s">
        <v>74</v>
      </c>
      <c r="BE119" t="s">
        <v>1753</v>
      </c>
      <c r="BF119" t="str">
        <f>HYPERLINK("http://dx.doi.org/10.1080/11250000109356428","http://dx.doi.org/10.1080/11250000109356428")</f>
        <v>http://dx.doi.org/10.1080/11250000109356428</v>
      </c>
      <c r="BG119" t="s">
        <v>74</v>
      </c>
      <c r="BH119" t="s">
        <v>74</v>
      </c>
      <c r="BI119">
        <v>10</v>
      </c>
      <c r="BJ119" t="s">
        <v>206</v>
      </c>
      <c r="BK119" t="s">
        <v>94</v>
      </c>
      <c r="BL119" t="s">
        <v>206</v>
      </c>
      <c r="BM119" t="s">
        <v>1754</v>
      </c>
      <c r="BN119" t="s">
        <v>74</v>
      </c>
      <c r="BO119" t="s">
        <v>1755</v>
      </c>
      <c r="BP119" t="s">
        <v>74</v>
      </c>
      <c r="BQ119" t="s">
        <v>74</v>
      </c>
      <c r="BR119" t="s">
        <v>97</v>
      </c>
      <c r="BS119" t="s">
        <v>1756</v>
      </c>
      <c r="BT119" t="str">
        <f>HYPERLINK("https%3A%2F%2Fwww.webofscience.com%2Fwos%2Fwoscc%2Ffull-record%2FWOS:000173634600011","View Full Record in Web of Science")</f>
        <v>View Full Record in Web of Science</v>
      </c>
    </row>
    <row r="120" spans="1:72" x14ac:dyDescent="0.15">
      <c r="A120" t="s">
        <v>72</v>
      </c>
      <c r="B120" t="s">
        <v>1757</v>
      </c>
      <c r="C120" t="s">
        <v>74</v>
      </c>
      <c r="D120" t="s">
        <v>74</v>
      </c>
      <c r="E120" t="s">
        <v>74</v>
      </c>
      <c r="F120" t="s">
        <v>1757</v>
      </c>
      <c r="G120" t="s">
        <v>74</v>
      </c>
      <c r="H120" t="s">
        <v>74</v>
      </c>
      <c r="I120" t="s">
        <v>1758</v>
      </c>
      <c r="J120" t="s">
        <v>1759</v>
      </c>
      <c r="K120" t="s">
        <v>74</v>
      </c>
      <c r="L120" t="s">
        <v>74</v>
      </c>
      <c r="M120" t="s">
        <v>77</v>
      </c>
      <c r="N120" t="s">
        <v>78</v>
      </c>
      <c r="O120" t="s">
        <v>74</v>
      </c>
      <c r="P120" t="s">
        <v>74</v>
      </c>
      <c r="Q120" t="s">
        <v>74</v>
      </c>
      <c r="R120" t="s">
        <v>74</v>
      </c>
      <c r="S120" t="s">
        <v>74</v>
      </c>
      <c r="T120" t="s">
        <v>74</v>
      </c>
      <c r="U120" t="s">
        <v>1760</v>
      </c>
      <c r="V120" t="s">
        <v>1761</v>
      </c>
      <c r="W120" t="s">
        <v>1762</v>
      </c>
      <c r="X120" t="s">
        <v>1402</v>
      </c>
      <c r="Y120" t="s">
        <v>1763</v>
      </c>
      <c r="Z120" t="s">
        <v>74</v>
      </c>
      <c r="AA120" t="s">
        <v>1764</v>
      </c>
      <c r="AB120" t="s">
        <v>1765</v>
      </c>
      <c r="AC120" t="s">
        <v>74</v>
      </c>
      <c r="AD120" t="s">
        <v>74</v>
      </c>
      <c r="AE120" t="s">
        <v>74</v>
      </c>
      <c r="AF120" t="s">
        <v>74</v>
      </c>
      <c r="AG120">
        <v>12</v>
      </c>
      <c r="AH120">
        <v>1</v>
      </c>
      <c r="AI120">
        <v>1</v>
      </c>
      <c r="AJ120">
        <v>0</v>
      </c>
      <c r="AK120">
        <v>0</v>
      </c>
      <c r="AL120" t="s">
        <v>1025</v>
      </c>
      <c r="AM120" t="s">
        <v>1026</v>
      </c>
      <c r="AN120" t="s">
        <v>1027</v>
      </c>
      <c r="AO120" t="s">
        <v>1766</v>
      </c>
      <c r="AP120" t="s">
        <v>74</v>
      </c>
      <c r="AQ120" t="s">
        <v>74</v>
      </c>
      <c r="AR120" t="s">
        <v>1767</v>
      </c>
      <c r="AS120" t="s">
        <v>1768</v>
      </c>
      <c r="AT120" t="s">
        <v>1013</v>
      </c>
      <c r="AU120">
        <v>2001</v>
      </c>
      <c r="AV120">
        <v>37</v>
      </c>
      <c r="AW120">
        <v>1</v>
      </c>
      <c r="AX120" t="s">
        <v>74</v>
      </c>
      <c r="AY120" t="s">
        <v>74</v>
      </c>
      <c r="AZ120" t="s">
        <v>74</v>
      </c>
      <c r="BA120" t="s">
        <v>74</v>
      </c>
      <c r="BB120">
        <v>40</v>
      </c>
      <c r="BC120">
        <v>50</v>
      </c>
      <c r="BD120" t="s">
        <v>74</v>
      </c>
      <c r="BE120" t="s">
        <v>74</v>
      </c>
      <c r="BF120" t="s">
        <v>74</v>
      </c>
      <c r="BG120" t="s">
        <v>74</v>
      </c>
      <c r="BH120" t="s">
        <v>74</v>
      </c>
      <c r="BI120">
        <v>11</v>
      </c>
      <c r="BJ120" t="s">
        <v>1769</v>
      </c>
      <c r="BK120" t="s">
        <v>94</v>
      </c>
      <c r="BL120" t="s">
        <v>1769</v>
      </c>
      <c r="BM120" t="s">
        <v>1770</v>
      </c>
      <c r="BN120" t="s">
        <v>74</v>
      </c>
      <c r="BO120" t="s">
        <v>74</v>
      </c>
      <c r="BP120" t="s">
        <v>74</v>
      </c>
      <c r="BQ120" t="s">
        <v>74</v>
      </c>
      <c r="BR120" t="s">
        <v>97</v>
      </c>
      <c r="BS120" t="s">
        <v>1771</v>
      </c>
      <c r="BT120" t="str">
        <f>HYPERLINK("https%3A%2F%2Fwww.webofscience.com%2Fwos%2Fwoscc%2Ffull-record%2FWOS:000167169400005","View Full Record in Web of Science")</f>
        <v>View Full Record in Web of Science</v>
      </c>
    </row>
    <row r="121" spans="1:72" x14ac:dyDescent="0.15">
      <c r="A121" t="s">
        <v>72</v>
      </c>
      <c r="B121" t="s">
        <v>1772</v>
      </c>
      <c r="C121" t="s">
        <v>74</v>
      </c>
      <c r="D121" t="s">
        <v>74</v>
      </c>
      <c r="E121" t="s">
        <v>74</v>
      </c>
      <c r="F121" t="s">
        <v>1772</v>
      </c>
      <c r="G121" t="s">
        <v>74</v>
      </c>
      <c r="H121" t="s">
        <v>74</v>
      </c>
      <c r="I121" t="s">
        <v>1773</v>
      </c>
      <c r="J121" t="s">
        <v>1774</v>
      </c>
      <c r="K121" t="s">
        <v>74</v>
      </c>
      <c r="L121" t="s">
        <v>74</v>
      </c>
      <c r="M121" t="s">
        <v>77</v>
      </c>
      <c r="N121" t="s">
        <v>78</v>
      </c>
      <c r="O121" t="s">
        <v>74</v>
      </c>
      <c r="P121" t="s">
        <v>74</v>
      </c>
      <c r="Q121" t="s">
        <v>74</v>
      </c>
      <c r="R121" t="s">
        <v>74</v>
      </c>
      <c r="S121" t="s">
        <v>74</v>
      </c>
      <c r="T121" t="s">
        <v>1775</v>
      </c>
      <c r="U121" t="s">
        <v>1776</v>
      </c>
      <c r="V121" t="s">
        <v>1777</v>
      </c>
      <c r="W121" t="s">
        <v>1778</v>
      </c>
      <c r="X121" t="s">
        <v>1779</v>
      </c>
      <c r="Y121" t="s">
        <v>1780</v>
      </c>
      <c r="Z121" t="s">
        <v>74</v>
      </c>
      <c r="AA121" t="s">
        <v>74</v>
      </c>
      <c r="AB121" t="s">
        <v>1781</v>
      </c>
      <c r="AC121" t="s">
        <v>74</v>
      </c>
      <c r="AD121" t="s">
        <v>74</v>
      </c>
      <c r="AE121" t="s">
        <v>74</v>
      </c>
      <c r="AF121" t="s">
        <v>74</v>
      </c>
      <c r="AG121">
        <v>46</v>
      </c>
      <c r="AH121">
        <v>27</v>
      </c>
      <c r="AI121">
        <v>28</v>
      </c>
      <c r="AJ121">
        <v>0</v>
      </c>
      <c r="AK121">
        <v>7</v>
      </c>
      <c r="AL121" t="s">
        <v>1782</v>
      </c>
      <c r="AM121" t="s">
        <v>1783</v>
      </c>
      <c r="AN121" t="s">
        <v>1784</v>
      </c>
      <c r="AO121" t="s">
        <v>1785</v>
      </c>
      <c r="AP121" t="s">
        <v>74</v>
      </c>
      <c r="AQ121" t="s">
        <v>74</v>
      </c>
      <c r="AR121" t="s">
        <v>1786</v>
      </c>
      <c r="AS121" t="s">
        <v>1787</v>
      </c>
      <c r="AT121" t="s">
        <v>91</v>
      </c>
      <c r="AU121">
        <v>2001</v>
      </c>
      <c r="AV121">
        <v>107</v>
      </c>
      <c r="AW121">
        <v>1</v>
      </c>
      <c r="AX121" t="s">
        <v>74</v>
      </c>
      <c r="AY121" t="s">
        <v>74</v>
      </c>
      <c r="AZ121" t="s">
        <v>74</v>
      </c>
      <c r="BA121" t="s">
        <v>74</v>
      </c>
      <c r="BB121">
        <v>160</v>
      </c>
      <c r="BC121">
        <v>164</v>
      </c>
      <c r="BD121" t="s">
        <v>74</v>
      </c>
      <c r="BE121" t="s">
        <v>1788</v>
      </c>
      <c r="BF121" t="str">
        <f>HYPERLINK("http://dx.doi.org/10.1067/mai.2001.112269","http://dx.doi.org/10.1067/mai.2001.112269")</f>
        <v>http://dx.doi.org/10.1067/mai.2001.112269</v>
      </c>
      <c r="BG121" t="s">
        <v>74</v>
      </c>
      <c r="BH121" t="s">
        <v>74</v>
      </c>
      <c r="BI121">
        <v>5</v>
      </c>
      <c r="BJ121" t="s">
        <v>1789</v>
      </c>
      <c r="BK121" t="s">
        <v>94</v>
      </c>
      <c r="BL121" t="s">
        <v>1789</v>
      </c>
      <c r="BM121" t="s">
        <v>1790</v>
      </c>
      <c r="BN121">
        <v>11150006</v>
      </c>
      <c r="BO121" t="s">
        <v>1755</v>
      </c>
      <c r="BP121" t="s">
        <v>74</v>
      </c>
      <c r="BQ121" t="s">
        <v>74</v>
      </c>
      <c r="BR121" t="s">
        <v>97</v>
      </c>
      <c r="BS121" t="s">
        <v>1791</v>
      </c>
      <c r="BT121" t="str">
        <f>HYPERLINK("https%3A%2F%2Fwww.webofscience.com%2Fwos%2Fwoscc%2Ffull-record%2FWOS:000166533300026","View Full Record in Web of Science")</f>
        <v>View Full Record in Web of Science</v>
      </c>
    </row>
    <row r="122" spans="1:72" x14ac:dyDescent="0.15">
      <c r="A122" t="s">
        <v>72</v>
      </c>
      <c r="B122" t="s">
        <v>1792</v>
      </c>
      <c r="C122" t="s">
        <v>74</v>
      </c>
      <c r="D122" t="s">
        <v>74</v>
      </c>
      <c r="E122" t="s">
        <v>74</v>
      </c>
      <c r="F122" t="s">
        <v>1792</v>
      </c>
      <c r="G122" t="s">
        <v>74</v>
      </c>
      <c r="H122" t="s">
        <v>74</v>
      </c>
      <c r="I122" t="s">
        <v>1793</v>
      </c>
      <c r="J122" t="s">
        <v>1794</v>
      </c>
      <c r="K122" t="s">
        <v>74</v>
      </c>
      <c r="L122" t="s">
        <v>74</v>
      </c>
      <c r="M122" t="s">
        <v>77</v>
      </c>
      <c r="N122" t="s">
        <v>78</v>
      </c>
      <c r="O122" t="s">
        <v>74</v>
      </c>
      <c r="P122" t="s">
        <v>74</v>
      </c>
      <c r="Q122" t="s">
        <v>74</v>
      </c>
      <c r="R122" t="s">
        <v>74</v>
      </c>
      <c r="S122" t="s">
        <v>74</v>
      </c>
      <c r="T122" t="s">
        <v>74</v>
      </c>
      <c r="U122" t="s">
        <v>1795</v>
      </c>
      <c r="V122" t="s">
        <v>1796</v>
      </c>
      <c r="W122" t="s">
        <v>1797</v>
      </c>
      <c r="X122" t="s">
        <v>1798</v>
      </c>
      <c r="Y122" t="s">
        <v>1799</v>
      </c>
      <c r="Z122" t="s">
        <v>74</v>
      </c>
      <c r="AA122" t="s">
        <v>1800</v>
      </c>
      <c r="AB122" t="s">
        <v>1801</v>
      </c>
      <c r="AC122" t="s">
        <v>74</v>
      </c>
      <c r="AD122" t="s">
        <v>74</v>
      </c>
      <c r="AE122" t="s">
        <v>74</v>
      </c>
      <c r="AF122" t="s">
        <v>74</v>
      </c>
      <c r="AG122">
        <v>13</v>
      </c>
      <c r="AH122">
        <v>11</v>
      </c>
      <c r="AI122">
        <v>11</v>
      </c>
      <c r="AJ122">
        <v>0</v>
      </c>
      <c r="AK122">
        <v>4</v>
      </c>
      <c r="AL122" t="s">
        <v>1802</v>
      </c>
      <c r="AM122" t="s">
        <v>109</v>
      </c>
      <c r="AN122" t="s">
        <v>1803</v>
      </c>
      <c r="AO122" t="s">
        <v>1804</v>
      </c>
      <c r="AP122" t="s">
        <v>74</v>
      </c>
      <c r="AQ122" t="s">
        <v>74</v>
      </c>
      <c r="AR122" t="s">
        <v>1805</v>
      </c>
      <c r="AS122" t="s">
        <v>1806</v>
      </c>
      <c r="AT122" t="s">
        <v>74</v>
      </c>
      <c r="AU122">
        <v>2001</v>
      </c>
      <c r="AV122">
        <v>16</v>
      </c>
      <c r="AW122">
        <v>10</v>
      </c>
      <c r="AX122" t="s">
        <v>74</v>
      </c>
      <c r="AY122" t="s">
        <v>74</v>
      </c>
      <c r="AZ122" t="s">
        <v>74</v>
      </c>
      <c r="BA122" t="s">
        <v>74</v>
      </c>
      <c r="BB122">
        <v>1142</v>
      </c>
      <c r="BC122">
        <v>1146</v>
      </c>
      <c r="BD122" t="s">
        <v>74</v>
      </c>
      <c r="BE122" t="s">
        <v>1807</v>
      </c>
      <c r="BF122" t="str">
        <f>HYPERLINK("http://dx.doi.org/10.1039/b101423o","http://dx.doi.org/10.1039/b101423o")</f>
        <v>http://dx.doi.org/10.1039/b101423o</v>
      </c>
      <c r="BG122" t="s">
        <v>74</v>
      </c>
      <c r="BH122" t="s">
        <v>74</v>
      </c>
      <c r="BI122">
        <v>5</v>
      </c>
      <c r="BJ122" t="s">
        <v>1808</v>
      </c>
      <c r="BK122" t="s">
        <v>94</v>
      </c>
      <c r="BL122" t="s">
        <v>1809</v>
      </c>
      <c r="BM122" t="s">
        <v>1810</v>
      </c>
      <c r="BN122" t="s">
        <v>74</v>
      </c>
      <c r="BO122" t="s">
        <v>74</v>
      </c>
      <c r="BP122" t="s">
        <v>74</v>
      </c>
      <c r="BQ122" t="s">
        <v>74</v>
      </c>
      <c r="BR122" t="s">
        <v>97</v>
      </c>
      <c r="BS122" t="s">
        <v>1811</v>
      </c>
      <c r="BT122" t="str">
        <f>HYPERLINK("https%3A%2F%2Fwww.webofscience.com%2Fwos%2Fwoscc%2Ffull-record%2FWOS:000171707700006","View Full Record in Web of Science")</f>
        <v>View Full Record in Web of Science</v>
      </c>
    </row>
    <row r="123" spans="1:72" x14ac:dyDescent="0.15">
      <c r="A123" t="s">
        <v>72</v>
      </c>
      <c r="B123" t="s">
        <v>1812</v>
      </c>
      <c r="C123" t="s">
        <v>74</v>
      </c>
      <c r="D123" t="s">
        <v>74</v>
      </c>
      <c r="E123" t="s">
        <v>74</v>
      </c>
      <c r="F123" t="s">
        <v>1812</v>
      </c>
      <c r="G123" t="s">
        <v>74</v>
      </c>
      <c r="H123" t="s">
        <v>74</v>
      </c>
      <c r="I123" t="s">
        <v>1813</v>
      </c>
      <c r="J123" t="s">
        <v>1814</v>
      </c>
      <c r="K123" t="s">
        <v>74</v>
      </c>
      <c r="L123" t="s">
        <v>74</v>
      </c>
      <c r="M123" t="s">
        <v>77</v>
      </c>
      <c r="N123" t="s">
        <v>78</v>
      </c>
      <c r="O123" t="s">
        <v>74</v>
      </c>
      <c r="P123" t="s">
        <v>74</v>
      </c>
      <c r="Q123" t="s">
        <v>74</v>
      </c>
      <c r="R123" t="s">
        <v>74</v>
      </c>
      <c r="S123" t="s">
        <v>74</v>
      </c>
      <c r="T123" t="s">
        <v>1815</v>
      </c>
      <c r="U123" t="s">
        <v>1816</v>
      </c>
      <c r="V123" t="s">
        <v>1817</v>
      </c>
      <c r="W123" t="s">
        <v>1818</v>
      </c>
      <c r="X123" t="s">
        <v>74</v>
      </c>
      <c r="Y123" t="s">
        <v>1819</v>
      </c>
      <c r="Z123" t="s">
        <v>1820</v>
      </c>
      <c r="AA123" t="s">
        <v>1821</v>
      </c>
      <c r="AB123" t="s">
        <v>1822</v>
      </c>
      <c r="AC123" t="s">
        <v>74</v>
      </c>
      <c r="AD123" t="s">
        <v>74</v>
      </c>
      <c r="AE123" t="s">
        <v>74</v>
      </c>
      <c r="AF123" t="s">
        <v>74</v>
      </c>
      <c r="AG123">
        <v>23</v>
      </c>
      <c r="AH123">
        <v>19</v>
      </c>
      <c r="AI123">
        <v>21</v>
      </c>
      <c r="AJ123">
        <v>2</v>
      </c>
      <c r="AK123">
        <v>7</v>
      </c>
      <c r="AL123" t="s">
        <v>1823</v>
      </c>
      <c r="AM123" t="s">
        <v>1121</v>
      </c>
      <c r="AN123" t="s">
        <v>1824</v>
      </c>
      <c r="AO123" t="s">
        <v>1825</v>
      </c>
      <c r="AP123" t="s">
        <v>1826</v>
      </c>
      <c r="AQ123" t="s">
        <v>74</v>
      </c>
      <c r="AR123" t="s">
        <v>1827</v>
      </c>
      <c r="AS123" t="s">
        <v>1828</v>
      </c>
      <c r="AT123" t="s">
        <v>91</v>
      </c>
      <c r="AU123">
        <v>2001</v>
      </c>
      <c r="AV123">
        <v>46</v>
      </c>
      <c r="AW123">
        <v>1</v>
      </c>
      <c r="AX123" t="s">
        <v>74</v>
      </c>
      <c r="AY123" t="s">
        <v>74</v>
      </c>
      <c r="AZ123" t="s">
        <v>74</v>
      </c>
      <c r="BA123" t="s">
        <v>74</v>
      </c>
      <c r="BB123">
        <v>31</v>
      </c>
      <c r="BC123">
        <v>44</v>
      </c>
      <c r="BD123" t="s">
        <v>74</v>
      </c>
      <c r="BE123" t="s">
        <v>1829</v>
      </c>
      <c r="BF123" t="str">
        <f>HYPERLINK("http://dx.doi.org/10.1016/S0926-9851(00)00037-9","http://dx.doi.org/10.1016/S0926-9851(00)00037-9")</f>
        <v>http://dx.doi.org/10.1016/S0926-9851(00)00037-9</v>
      </c>
      <c r="BG123" t="s">
        <v>74</v>
      </c>
      <c r="BH123" t="s">
        <v>74</v>
      </c>
      <c r="BI123">
        <v>14</v>
      </c>
      <c r="BJ123" t="s">
        <v>1830</v>
      </c>
      <c r="BK123" t="s">
        <v>94</v>
      </c>
      <c r="BL123" t="s">
        <v>1831</v>
      </c>
      <c r="BM123" t="s">
        <v>1832</v>
      </c>
      <c r="BN123" t="s">
        <v>74</v>
      </c>
      <c r="BO123" t="s">
        <v>74</v>
      </c>
      <c r="BP123" t="s">
        <v>74</v>
      </c>
      <c r="BQ123" t="s">
        <v>74</v>
      </c>
      <c r="BR123" t="s">
        <v>97</v>
      </c>
      <c r="BS123" t="s">
        <v>1833</v>
      </c>
      <c r="BT123" t="str">
        <f>HYPERLINK("https%3A%2F%2Fwww.webofscience.com%2Fwos%2Fwoscc%2Ffull-record%2FWOS:000166598900002","View Full Record in Web of Science")</f>
        <v>View Full Record in Web of Science</v>
      </c>
    </row>
    <row r="124" spans="1:72" x14ac:dyDescent="0.15">
      <c r="A124" t="s">
        <v>72</v>
      </c>
      <c r="B124" t="s">
        <v>1834</v>
      </c>
      <c r="C124" t="s">
        <v>74</v>
      </c>
      <c r="D124" t="s">
        <v>74</v>
      </c>
      <c r="E124" t="s">
        <v>74</v>
      </c>
      <c r="F124" t="s">
        <v>1834</v>
      </c>
      <c r="G124" t="s">
        <v>74</v>
      </c>
      <c r="H124" t="s">
        <v>74</v>
      </c>
      <c r="I124" t="s">
        <v>1835</v>
      </c>
      <c r="J124" t="s">
        <v>1836</v>
      </c>
      <c r="K124" t="s">
        <v>74</v>
      </c>
      <c r="L124" t="s">
        <v>74</v>
      </c>
      <c r="M124" t="s">
        <v>77</v>
      </c>
      <c r="N124" t="s">
        <v>78</v>
      </c>
      <c r="O124" t="s">
        <v>74</v>
      </c>
      <c r="P124" t="s">
        <v>74</v>
      </c>
      <c r="Q124" t="s">
        <v>74</v>
      </c>
      <c r="R124" t="s">
        <v>74</v>
      </c>
      <c r="S124" t="s">
        <v>74</v>
      </c>
      <c r="T124" t="s">
        <v>74</v>
      </c>
      <c r="U124" t="s">
        <v>1837</v>
      </c>
      <c r="V124" t="s">
        <v>1838</v>
      </c>
      <c r="W124" t="s">
        <v>1839</v>
      </c>
      <c r="X124" t="s">
        <v>1840</v>
      </c>
      <c r="Y124" t="s">
        <v>1841</v>
      </c>
      <c r="Z124" t="s">
        <v>74</v>
      </c>
      <c r="AA124" t="s">
        <v>74</v>
      </c>
      <c r="AB124" t="s">
        <v>74</v>
      </c>
      <c r="AC124" t="s">
        <v>74</v>
      </c>
      <c r="AD124" t="s">
        <v>74</v>
      </c>
      <c r="AE124" t="s">
        <v>74</v>
      </c>
      <c r="AF124" t="s">
        <v>74</v>
      </c>
      <c r="AG124">
        <v>40</v>
      </c>
      <c r="AH124">
        <v>12</v>
      </c>
      <c r="AI124">
        <v>12</v>
      </c>
      <c r="AJ124">
        <v>0</v>
      </c>
      <c r="AK124">
        <v>8</v>
      </c>
      <c r="AL124" t="s">
        <v>1842</v>
      </c>
      <c r="AM124" t="s">
        <v>1843</v>
      </c>
      <c r="AN124" t="s">
        <v>1844</v>
      </c>
      <c r="AO124" t="s">
        <v>1845</v>
      </c>
      <c r="AP124" t="s">
        <v>74</v>
      </c>
      <c r="AQ124" t="s">
        <v>74</v>
      </c>
      <c r="AR124" t="s">
        <v>1846</v>
      </c>
      <c r="AS124" t="s">
        <v>1847</v>
      </c>
      <c r="AT124" t="s">
        <v>74</v>
      </c>
      <c r="AU124">
        <v>2001</v>
      </c>
      <c r="AV124">
        <v>40</v>
      </c>
      <c r="AW124">
        <v>1</v>
      </c>
      <c r="AX124" t="s">
        <v>74</v>
      </c>
      <c r="AY124" t="s">
        <v>74</v>
      </c>
      <c r="AZ124" t="s">
        <v>74</v>
      </c>
      <c r="BA124" t="s">
        <v>74</v>
      </c>
      <c r="BB124">
        <v>16</v>
      </c>
      <c r="BC124">
        <v>33</v>
      </c>
      <c r="BD124" t="s">
        <v>74</v>
      </c>
      <c r="BE124" t="s">
        <v>1848</v>
      </c>
      <c r="BF124" t="str">
        <f>HYPERLINK("http://dx.doi.org/10.1175/1520-0450(2001)040&lt;0016:AHRAOC&gt;2.0.CO;2","http://dx.doi.org/10.1175/1520-0450(2001)040&lt;0016:AHRAOC&gt;2.0.CO;2")</f>
        <v>http://dx.doi.org/10.1175/1520-0450(2001)040&lt;0016:AHRAOC&gt;2.0.CO;2</v>
      </c>
      <c r="BG124" t="s">
        <v>74</v>
      </c>
      <c r="BH124" t="s">
        <v>74</v>
      </c>
      <c r="BI124">
        <v>18</v>
      </c>
      <c r="BJ124" t="s">
        <v>167</v>
      </c>
      <c r="BK124" t="s">
        <v>94</v>
      </c>
      <c r="BL124" t="s">
        <v>167</v>
      </c>
      <c r="BM124" t="s">
        <v>1849</v>
      </c>
      <c r="BN124" t="s">
        <v>74</v>
      </c>
      <c r="BO124" t="s">
        <v>1850</v>
      </c>
      <c r="BP124" t="s">
        <v>74</v>
      </c>
      <c r="BQ124" t="s">
        <v>74</v>
      </c>
      <c r="BR124" t="s">
        <v>97</v>
      </c>
      <c r="BS124" t="s">
        <v>1851</v>
      </c>
      <c r="BT124" t="str">
        <f>HYPERLINK("https%3A%2F%2Fwww.webofscience.com%2Fwos%2Fwoscc%2Ffull-record%2FWOS:000166476000002","View Full Record in Web of Science")</f>
        <v>View Full Record in Web of Science</v>
      </c>
    </row>
    <row r="125" spans="1:72" x14ac:dyDescent="0.15">
      <c r="A125" t="s">
        <v>72</v>
      </c>
      <c r="B125" t="s">
        <v>1852</v>
      </c>
      <c r="C125" t="s">
        <v>74</v>
      </c>
      <c r="D125" t="s">
        <v>74</v>
      </c>
      <c r="E125" t="s">
        <v>74</v>
      </c>
      <c r="F125" t="s">
        <v>1852</v>
      </c>
      <c r="G125" t="s">
        <v>74</v>
      </c>
      <c r="H125" t="s">
        <v>74</v>
      </c>
      <c r="I125" t="s">
        <v>1853</v>
      </c>
      <c r="J125" t="s">
        <v>1836</v>
      </c>
      <c r="K125" t="s">
        <v>74</v>
      </c>
      <c r="L125" t="s">
        <v>74</v>
      </c>
      <c r="M125" t="s">
        <v>77</v>
      </c>
      <c r="N125" t="s">
        <v>78</v>
      </c>
      <c r="O125" t="s">
        <v>74</v>
      </c>
      <c r="P125" t="s">
        <v>74</v>
      </c>
      <c r="Q125" t="s">
        <v>74</v>
      </c>
      <c r="R125" t="s">
        <v>74</v>
      </c>
      <c r="S125" t="s">
        <v>74</v>
      </c>
      <c r="T125" t="s">
        <v>74</v>
      </c>
      <c r="U125" t="s">
        <v>1854</v>
      </c>
      <c r="V125" t="s">
        <v>1855</v>
      </c>
      <c r="W125" t="s">
        <v>1856</v>
      </c>
      <c r="X125" t="s">
        <v>1857</v>
      </c>
      <c r="Y125" t="s">
        <v>1858</v>
      </c>
      <c r="Z125" t="s">
        <v>74</v>
      </c>
      <c r="AA125" t="s">
        <v>1859</v>
      </c>
      <c r="AB125" t="s">
        <v>74</v>
      </c>
      <c r="AC125" t="s">
        <v>74</v>
      </c>
      <c r="AD125" t="s">
        <v>74</v>
      </c>
      <c r="AE125" t="s">
        <v>74</v>
      </c>
      <c r="AF125" t="s">
        <v>74</v>
      </c>
      <c r="AG125">
        <v>42</v>
      </c>
      <c r="AH125">
        <v>31</v>
      </c>
      <c r="AI125">
        <v>35</v>
      </c>
      <c r="AJ125">
        <v>0</v>
      </c>
      <c r="AK125">
        <v>7</v>
      </c>
      <c r="AL125" t="s">
        <v>1842</v>
      </c>
      <c r="AM125" t="s">
        <v>1843</v>
      </c>
      <c r="AN125" t="s">
        <v>1844</v>
      </c>
      <c r="AO125" t="s">
        <v>1845</v>
      </c>
      <c r="AP125" t="s">
        <v>74</v>
      </c>
      <c r="AQ125" t="s">
        <v>74</v>
      </c>
      <c r="AR125" t="s">
        <v>1846</v>
      </c>
      <c r="AS125" t="s">
        <v>1847</v>
      </c>
      <c r="AT125" t="s">
        <v>74</v>
      </c>
      <c r="AU125">
        <v>2001</v>
      </c>
      <c r="AV125">
        <v>40</v>
      </c>
      <c r="AW125">
        <v>4</v>
      </c>
      <c r="AX125" t="s">
        <v>74</v>
      </c>
      <c r="AY125" t="s">
        <v>74</v>
      </c>
      <c r="AZ125" t="s">
        <v>74</v>
      </c>
      <c r="BA125" t="s">
        <v>74</v>
      </c>
      <c r="BB125">
        <v>810</v>
      </c>
      <c r="BC125">
        <v>821</v>
      </c>
      <c r="BD125" t="s">
        <v>74</v>
      </c>
      <c r="BE125" t="s">
        <v>1860</v>
      </c>
      <c r="BF125" t="str">
        <f>HYPERLINK("http://dx.doi.org/10.1175/1520-0450(2001)040&lt;0810:FOTWAB&gt;2.0.CO;2","http://dx.doi.org/10.1175/1520-0450(2001)040&lt;0810:FOTWAB&gt;2.0.CO;2")</f>
        <v>http://dx.doi.org/10.1175/1520-0450(2001)040&lt;0810:FOTWAB&gt;2.0.CO;2</v>
      </c>
      <c r="BG125" t="s">
        <v>74</v>
      </c>
      <c r="BH125" t="s">
        <v>74</v>
      </c>
      <c r="BI125">
        <v>12</v>
      </c>
      <c r="BJ125" t="s">
        <v>167</v>
      </c>
      <c r="BK125" t="s">
        <v>94</v>
      </c>
      <c r="BL125" t="s">
        <v>167</v>
      </c>
      <c r="BM125" t="s">
        <v>1861</v>
      </c>
      <c r="BN125" t="s">
        <v>74</v>
      </c>
      <c r="BO125" t="s">
        <v>1068</v>
      </c>
      <c r="BP125" t="s">
        <v>74</v>
      </c>
      <c r="BQ125" t="s">
        <v>74</v>
      </c>
      <c r="BR125" t="s">
        <v>97</v>
      </c>
      <c r="BS125" t="s">
        <v>1862</v>
      </c>
      <c r="BT125" t="str">
        <f>HYPERLINK("https%3A%2F%2Fwww.webofscience.com%2Fwos%2Fwoscc%2Ffull-record%2FWOS:000168022100011","View Full Record in Web of Science")</f>
        <v>View Full Record in Web of Science</v>
      </c>
    </row>
    <row r="126" spans="1:72" x14ac:dyDescent="0.15">
      <c r="A126" t="s">
        <v>72</v>
      </c>
      <c r="B126" t="s">
        <v>1863</v>
      </c>
      <c r="C126" t="s">
        <v>74</v>
      </c>
      <c r="D126" t="s">
        <v>74</v>
      </c>
      <c r="E126" t="s">
        <v>74</v>
      </c>
      <c r="F126" t="s">
        <v>1863</v>
      </c>
      <c r="G126" t="s">
        <v>74</v>
      </c>
      <c r="H126" t="s">
        <v>74</v>
      </c>
      <c r="I126" t="s">
        <v>1864</v>
      </c>
      <c r="J126" t="s">
        <v>1836</v>
      </c>
      <c r="K126" t="s">
        <v>74</v>
      </c>
      <c r="L126" t="s">
        <v>74</v>
      </c>
      <c r="M126" t="s">
        <v>77</v>
      </c>
      <c r="N126" t="s">
        <v>78</v>
      </c>
      <c r="O126" t="s">
        <v>74</v>
      </c>
      <c r="P126" t="s">
        <v>74</v>
      </c>
      <c r="Q126" t="s">
        <v>74</v>
      </c>
      <c r="R126" t="s">
        <v>74</v>
      </c>
      <c r="S126" t="s">
        <v>74</v>
      </c>
      <c r="T126" t="s">
        <v>74</v>
      </c>
      <c r="U126" t="s">
        <v>1865</v>
      </c>
      <c r="V126" t="s">
        <v>1866</v>
      </c>
      <c r="W126" t="s">
        <v>1867</v>
      </c>
      <c r="X126" t="s">
        <v>1868</v>
      </c>
      <c r="Y126" t="s">
        <v>1869</v>
      </c>
      <c r="Z126" t="s">
        <v>74</v>
      </c>
      <c r="AA126" t="s">
        <v>74</v>
      </c>
      <c r="AB126" t="s">
        <v>74</v>
      </c>
      <c r="AC126" t="s">
        <v>74</v>
      </c>
      <c r="AD126" t="s">
        <v>74</v>
      </c>
      <c r="AE126" t="s">
        <v>74</v>
      </c>
      <c r="AF126" t="s">
        <v>74</v>
      </c>
      <c r="AG126">
        <v>27</v>
      </c>
      <c r="AH126">
        <v>43</v>
      </c>
      <c r="AI126">
        <v>46</v>
      </c>
      <c r="AJ126">
        <v>1</v>
      </c>
      <c r="AK126">
        <v>9</v>
      </c>
      <c r="AL126" t="s">
        <v>1842</v>
      </c>
      <c r="AM126" t="s">
        <v>1843</v>
      </c>
      <c r="AN126" t="s">
        <v>1844</v>
      </c>
      <c r="AO126" t="s">
        <v>1845</v>
      </c>
      <c r="AP126" t="s">
        <v>74</v>
      </c>
      <c r="AQ126" t="s">
        <v>74</v>
      </c>
      <c r="AR126" t="s">
        <v>1846</v>
      </c>
      <c r="AS126" t="s">
        <v>1847</v>
      </c>
      <c r="AT126" t="s">
        <v>74</v>
      </c>
      <c r="AU126">
        <v>2001</v>
      </c>
      <c r="AV126">
        <v>40</v>
      </c>
      <c r="AW126">
        <v>7</v>
      </c>
      <c r="AX126" t="s">
        <v>74</v>
      </c>
      <c r="AY126" t="s">
        <v>74</v>
      </c>
      <c r="AZ126" t="s">
        <v>74</v>
      </c>
      <c r="BA126" t="s">
        <v>74</v>
      </c>
      <c r="BB126">
        <v>1265</v>
      </c>
      <c r="BC126">
        <v>1278</v>
      </c>
      <c r="BD126" t="s">
        <v>74</v>
      </c>
      <c r="BE126" t="s">
        <v>1870</v>
      </c>
      <c r="BF126" t="str">
        <f>HYPERLINK("http://dx.doi.org/10.1175/1520-0450(2001)040&lt;1265:GBIRSO&gt;2.0.CO;2","http://dx.doi.org/10.1175/1520-0450(2001)040&lt;1265:GBIRSO&gt;2.0.CO;2")</f>
        <v>http://dx.doi.org/10.1175/1520-0450(2001)040&lt;1265:GBIRSO&gt;2.0.CO;2</v>
      </c>
      <c r="BG126" t="s">
        <v>74</v>
      </c>
      <c r="BH126" t="s">
        <v>74</v>
      </c>
      <c r="BI126">
        <v>14</v>
      </c>
      <c r="BJ126" t="s">
        <v>167</v>
      </c>
      <c r="BK126" t="s">
        <v>94</v>
      </c>
      <c r="BL126" t="s">
        <v>167</v>
      </c>
      <c r="BM126" t="s">
        <v>1871</v>
      </c>
      <c r="BN126" t="s">
        <v>74</v>
      </c>
      <c r="BO126" t="s">
        <v>1068</v>
      </c>
      <c r="BP126" t="s">
        <v>74</v>
      </c>
      <c r="BQ126" t="s">
        <v>74</v>
      </c>
      <c r="BR126" t="s">
        <v>97</v>
      </c>
      <c r="BS126" t="s">
        <v>1872</v>
      </c>
      <c r="BT126" t="str">
        <f>HYPERLINK("https%3A%2F%2Fwww.webofscience.com%2Fwos%2Fwoscc%2Ffull-record%2FWOS:000169762800010","View Full Record in Web of Science")</f>
        <v>View Full Record in Web of Science</v>
      </c>
    </row>
    <row r="127" spans="1:72" x14ac:dyDescent="0.15">
      <c r="A127" t="s">
        <v>72</v>
      </c>
      <c r="B127" t="s">
        <v>1863</v>
      </c>
      <c r="C127" t="s">
        <v>74</v>
      </c>
      <c r="D127" t="s">
        <v>74</v>
      </c>
      <c r="E127" t="s">
        <v>74</v>
      </c>
      <c r="F127" t="s">
        <v>1863</v>
      </c>
      <c r="G127" t="s">
        <v>74</v>
      </c>
      <c r="H127" t="s">
        <v>74</v>
      </c>
      <c r="I127" t="s">
        <v>1873</v>
      </c>
      <c r="J127" t="s">
        <v>1836</v>
      </c>
      <c r="K127" t="s">
        <v>74</v>
      </c>
      <c r="L127" t="s">
        <v>74</v>
      </c>
      <c r="M127" t="s">
        <v>77</v>
      </c>
      <c r="N127" t="s">
        <v>78</v>
      </c>
      <c r="O127" t="s">
        <v>74</v>
      </c>
      <c r="P127" t="s">
        <v>74</v>
      </c>
      <c r="Q127" t="s">
        <v>74</v>
      </c>
      <c r="R127" t="s">
        <v>74</v>
      </c>
      <c r="S127" t="s">
        <v>74</v>
      </c>
      <c r="T127" t="s">
        <v>74</v>
      </c>
      <c r="U127" t="s">
        <v>1874</v>
      </c>
      <c r="V127" t="s">
        <v>1875</v>
      </c>
      <c r="W127" t="s">
        <v>1867</v>
      </c>
      <c r="X127" t="s">
        <v>1868</v>
      </c>
      <c r="Y127" t="s">
        <v>1869</v>
      </c>
      <c r="Z127" t="s">
        <v>74</v>
      </c>
      <c r="AA127" t="s">
        <v>74</v>
      </c>
      <c r="AB127" t="s">
        <v>74</v>
      </c>
      <c r="AC127" t="s">
        <v>74</v>
      </c>
      <c r="AD127" t="s">
        <v>74</v>
      </c>
      <c r="AE127" t="s">
        <v>74</v>
      </c>
      <c r="AF127" t="s">
        <v>74</v>
      </c>
      <c r="AG127">
        <v>32</v>
      </c>
      <c r="AH127">
        <v>52</v>
      </c>
      <c r="AI127">
        <v>54</v>
      </c>
      <c r="AJ127">
        <v>0</v>
      </c>
      <c r="AK127">
        <v>6</v>
      </c>
      <c r="AL127" t="s">
        <v>1842</v>
      </c>
      <c r="AM127" t="s">
        <v>1843</v>
      </c>
      <c r="AN127" t="s">
        <v>1844</v>
      </c>
      <c r="AO127" t="s">
        <v>1845</v>
      </c>
      <c r="AP127" t="s">
        <v>74</v>
      </c>
      <c r="AQ127" t="s">
        <v>74</v>
      </c>
      <c r="AR127" t="s">
        <v>1846</v>
      </c>
      <c r="AS127" t="s">
        <v>1847</v>
      </c>
      <c r="AT127" t="s">
        <v>74</v>
      </c>
      <c r="AU127">
        <v>2001</v>
      </c>
      <c r="AV127">
        <v>40</v>
      </c>
      <c r="AW127">
        <v>7</v>
      </c>
      <c r="AX127" t="s">
        <v>74</v>
      </c>
      <c r="AY127" t="s">
        <v>74</v>
      </c>
      <c r="AZ127" t="s">
        <v>74</v>
      </c>
      <c r="BA127" t="s">
        <v>74</v>
      </c>
      <c r="BB127">
        <v>1279</v>
      </c>
      <c r="BC127">
        <v>1294</v>
      </c>
      <c r="BD127" t="s">
        <v>74</v>
      </c>
      <c r="BE127" t="s">
        <v>1876</v>
      </c>
      <c r="BF127" t="str">
        <f>HYPERLINK("http://dx.doi.org/10.1175/1520-0450(2001)040&lt;1279:GBIRSO&gt;2.0.CO;2","http://dx.doi.org/10.1175/1520-0450(2001)040&lt;1279:GBIRSO&gt;2.0.CO;2")</f>
        <v>http://dx.doi.org/10.1175/1520-0450(2001)040&lt;1279:GBIRSO&gt;2.0.CO;2</v>
      </c>
      <c r="BG127" t="s">
        <v>74</v>
      </c>
      <c r="BH127" t="s">
        <v>74</v>
      </c>
      <c r="BI127">
        <v>16</v>
      </c>
      <c r="BJ127" t="s">
        <v>167</v>
      </c>
      <c r="BK127" t="s">
        <v>94</v>
      </c>
      <c r="BL127" t="s">
        <v>167</v>
      </c>
      <c r="BM127" t="s">
        <v>1871</v>
      </c>
      <c r="BN127" t="s">
        <v>74</v>
      </c>
      <c r="BO127" t="s">
        <v>74</v>
      </c>
      <c r="BP127" t="s">
        <v>74</v>
      </c>
      <c r="BQ127" t="s">
        <v>74</v>
      </c>
      <c r="BR127" t="s">
        <v>97</v>
      </c>
      <c r="BS127" t="s">
        <v>1877</v>
      </c>
      <c r="BT127" t="str">
        <f>HYPERLINK("https%3A%2F%2Fwww.webofscience.com%2Fwos%2Fwoscc%2Ffull-record%2FWOS:000169762800011","View Full Record in Web of Science")</f>
        <v>View Full Record in Web of Science</v>
      </c>
    </row>
    <row r="128" spans="1:72" x14ac:dyDescent="0.15">
      <c r="A128" t="s">
        <v>72</v>
      </c>
      <c r="B128" t="s">
        <v>1878</v>
      </c>
      <c r="C128" t="s">
        <v>74</v>
      </c>
      <c r="D128" t="s">
        <v>74</v>
      </c>
      <c r="E128" t="s">
        <v>74</v>
      </c>
      <c r="F128" t="s">
        <v>1878</v>
      </c>
      <c r="G128" t="s">
        <v>74</v>
      </c>
      <c r="H128" t="s">
        <v>74</v>
      </c>
      <c r="I128" t="s">
        <v>1879</v>
      </c>
      <c r="J128" t="s">
        <v>1836</v>
      </c>
      <c r="K128" t="s">
        <v>74</v>
      </c>
      <c r="L128" t="s">
        <v>74</v>
      </c>
      <c r="M128" t="s">
        <v>77</v>
      </c>
      <c r="N128" t="s">
        <v>78</v>
      </c>
      <c r="O128" t="s">
        <v>74</v>
      </c>
      <c r="P128" t="s">
        <v>74</v>
      </c>
      <c r="Q128" t="s">
        <v>74</v>
      </c>
      <c r="R128" t="s">
        <v>74</v>
      </c>
      <c r="S128" t="s">
        <v>74</v>
      </c>
      <c r="T128" t="s">
        <v>74</v>
      </c>
      <c r="U128" t="s">
        <v>1880</v>
      </c>
      <c r="V128" t="s">
        <v>1881</v>
      </c>
      <c r="W128" t="s">
        <v>1882</v>
      </c>
      <c r="X128" t="s">
        <v>1883</v>
      </c>
      <c r="Y128" t="s">
        <v>1884</v>
      </c>
      <c r="Z128" t="s">
        <v>74</v>
      </c>
      <c r="AA128" t="s">
        <v>74</v>
      </c>
      <c r="AB128" t="s">
        <v>1885</v>
      </c>
      <c r="AC128" t="s">
        <v>74</v>
      </c>
      <c r="AD128" t="s">
        <v>74</v>
      </c>
      <c r="AE128" t="s">
        <v>74</v>
      </c>
      <c r="AF128" t="s">
        <v>74</v>
      </c>
      <c r="AG128">
        <v>32</v>
      </c>
      <c r="AH128">
        <v>40</v>
      </c>
      <c r="AI128">
        <v>42</v>
      </c>
      <c r="AJ128">
        <v>0</v>
      </c>
      <c r="AK128">
        <v>12</v>
      </c>
      <c r="AL128" t="s">
        <v>1842</v>
      </c>
      <c r="AM128" t="s">
        <v>1843</v>
      </c>
      <c r="AN128" t="s">
        <v>1844</v>
      </c>
      <c r="AO128" t="s">
        <v>1845</v>
      </c>
      <c r="AP128" t="s">
        <v>74</v>
      </c>
      <c r="AQ128" t="s">
        <v>74</v>
      </c>
      <c r="AR128" t="s">
        <v>1846</v>
      </c>
      <c r="AS128" t="s">
        <v>1847</v>
      </c>
      <c r="AT128" t="s">
        <v>74</v>
      </c>
      <c r="AU128">
        <v>2001</v>
      </c>
      <c r="AV128">
        <v>40</v>
      </c>
      <c r="AW128">
        <v>11</v>
      </c>
      <c r="AX128" t="s">
        <v>74</v>
      </c>
      <c r="AY128" t="s">
        <v>74</v>
      </c>
      <c r="AZ128" t="s">
        <v>74</v>
      </c>
      <c r="BA128" t="s">
        <v>74</v>
      </c>
      <c r="BB128">
        <v>1952</v>
      </c>
      <c r="BC128">
        <v>1966</v>
      </c>
      <c r="BD128" t="s">
        <v>74</v>
      </c>
      <c r="BE128" t="s">
        <v>1886</v>
      </c>
      <c r="BF128" t="str">
        <f>HYPERLINK("http://dx.doi.org/10.1175/1520-0450(2001)040&lt;1952:SSIAKW&gt;2.0.CO;2","http://dx.doi.org/10.1175/1520-0450(2001)040&lt;1952:SSIAKW&gt;2.0.CO;2")</f>
        <v>http://dx.doi.org/10.1175/1520-0450(2001)040&lt;1952:SSIAKW&gt;2.0.CO;2</v>
      </c>
      <c r="BG128" t="s">
        <v>74</v>
      </c>
      <c r="BH128" t="s">
        <v>74</v>
      </c>
      <c r="BI128">
        <v>15</v>
      </c>
      <c r="BJ128" t="s">
        <v>167</v>
      </c>
      <c r="BK128" t="s">
        <v>94</v>
      </c>
      <c r="BL128" t="s">
        <v>167</v>
      </c>
      <c r="BM128" t="s">
        <v>1887</v>
      </c>
      <c r="BN128" t="s">
        <v>74</v>
      </c>
      <c r="BO128" t="s">
        <v>1850</v>
      </c>
      <c r="BP128" t="s">
        <v>74</v>
      </c>
      <c r="BQ128" t="s">
        <v>74</v>
      </c>
      <c r="BR128" t="s">
        <v>97</v>
      </c>
      <c r="BS128" t="s">
        <v>1888</v>
      </c>
      <c r="BT128" t="str">
        <f>HYPERLINK("https%3A%2F%2Fwww.webofscience.com%2Fwos%2Fwoscc%2Ffull-record%2FWOS:000171798000010","View Full Record in Web of Science")</f>
        <v>View Full Record in Web of Science</v>
      </c>
    </row>
    <row r="129" spans="1:72" x14ac:dyDescent="0.15">
      <c r="A129" t="s">
        <v>72</v>
      </c>
      <c r="B129" t="s">
        <v>1889</v>
      </c>
      <c r="C129" t="s">
        <v>74</v>
      </c>
      <c r="D129" t="s">
        <v>74</v>
      </c>
      <c r="E129" t="s">
        <v>74</v>
      </c>
      <c r="F129" t="s">
        <v>1889</v>
      </c>
      <c r="G129" t="s">
        <v>74</v>
      </c>
      <c r="H129" t="s">
        <v>74</v>
      </c>
      <c r="I129" t="s">
        <v>1890</v>
      </c>
      <c r="J129" t="s">
        <v>1891</v>
      </c>
      <c r="K129" t="s">
        <v>74</v>
      </c>
      <c r="L129" t="s">
        <v>74</v>
      </c>
      <c r="M129" t="s">
        <v>77</v>
      </c>
      <c r="N129" t="s">
        <v>78</v>
      </c>
      <c r="O129" t="s">
        <v>74</v>
      </c>
      <c r="P129" t="s">
        <v>74</v>
      </c>
      <c r="Q129" t="s">
        <v>74</v>
      </c>
      <c r="R129" t="s">
        <v>74</v>
      </c>
      <c r="S129" t="s">
        <v>74</v>
      </c>
      <c r="T129" t="s">
        <v>1892</v>
      </c>
      <c r="U129" t="s">
        <v>1893</v>
      </c>
      <c r="V129" t="s">
        <v>1894</v>
      </c>
      <c r="W129" t="s">
        <v>1895</v>
      </c>
      <c r="X129" t="s">
        <v>74</v>
      </c>
      <c r="Y129" t="s">
        <v>74</v>
      </c>
      <c r="Z129" t="s">
        <v>1896</v>
      </c>
      <c r="AA129" t="s">
        <v>1897</v>
      </c>
      <c r="AB129" t="s">
        <v>1898</v>
      </c>
      <c r="AC129" t="s">
        <v>74</v>
      </c>
      <c r="AD129" t="s">
        <v>74</v>
      </c>
      <c r="AE129" t="s">
        <v>74</v>
      </c>
      <c r="AF129" t="s">
        <v>74</v>
      </c>
      <c r="AG129">
        <v>44</v>
      </c>
      <c r="AH129">
        <v>69</v>
      </c>
      <c r="AI129">
        <v>85</v>
      </c>
      <c r="AJ129">
        <v>3</v>
      </c>
      <c r="AK129">
        <v>15</v>
      </c>
      <c r="AL129" t="s">
        <v>1899</v>
      </c>
      <c r="AM129" t="s">
        <v>1208</v>
      </c>
      <c r="AN129" t="s">
        <v>1900</v>
      </c>
      <c r="AO129" t="s">
        <v>1901</v>
      </c>
      <c r="AP129" t="s">
        <v>1902</v>
      </c>
      <c r="AQ129" t="s">
        <v>74</v>
      </c>
      <c r="AR129" t="s">
        <v>1903</v>
      </c>
      <c r="AS129" t="s">
        <v>1904</v>
      </c>
      <c r="AT129" t="s">
        <v>91</v>
      </c>
      <c r="AU129">
        <v>2001</v>
      </c>
      <c r="AV129">
        <v>47</v>
      </c>
      <c r="AW129">
        <v>1</v>
      </c>
      <c r="AX129" t="s">
        <v>74</v>
      </c>
      <c r="AY129" t="s">
        <v>74</v>
      </c>
      <c r="AZ129" t="s">
        <v>74</v>
      </c>
      <c r="BA129" t="s">
        <v>74</v>
      </c>
      <c r="BB129">
        <v>77</v>
      </c>
      <c r="BC129">
        <v>94</v>
      </c>
      <c r="BD129" t="s">
        <v>74</v>
      </c>
      <c r="BE129" t="s">
        <v>1905</v>
      </c>
      <c r="BF129" t="str">
        <f>HYPERLINK("http://dx.doi.org/10.1006/jare.2000.0688","http://dx.doi.org/10.1006/jare.2000.0688")</f>
        <v>http://dx.doi.org/10.1006/jare.2000.0688</v>
      </c>
      <c r="BG129" t="s">
        <v>74</v>
      </c>
      <c r="BH129" t="s">
        <v>74</v>
      </c>
      <c r="BI129">
        <v>18</v>
      </c>
      <c r="BJ129" t="s">
        <v>1906</v>
      </c>
      <c r="BK129" t="s">
        <v>94</v>
      </c>
      <c r="BL129" t="s">
        <v>114</v>
      </c>
      <c r="BM129" t="s">
        <v>1907</v>
      </c>
      <c r="BN129" t="s">
        <v>74</v>
      </c>
      <c r="BO129" t="s">
        <v>74</v>
      </c>
      <c r="BP129" t="s">
        <v>74</v>
      </c>
      <c r="BQ129" t="s">
        <v>74</v>
      </c>
      <c r="BR129" t="s">
        <v>97</v>
      </c>
      <c r="BS129" t="s">
        <v>1908</v>
      </c>
      <c r="BT129" t="str">
        <f>HYPERLINK("https%3A%2F%2Fwww.webofscience.com%2Fwos%2Fwoscc%2Ffull-record%2FWOS:000166682100005","View Full Record in Web of Science")</f>
        <v>View Full Record in Web of Science</v>
      </c>
    </row>
    <row r="130" spans="1:72" x14ac:dyDescent="0.15">
      <c r="A130" t="s">
        <v>72</v>
      </c>
      <c r="B130" t="s">
        <v>1909</v>
      </c>
      <c r="C130" t="s">
        <v>74</v>
      </c>
      <c r="D130" t="s">
        <v>74</v>
      </c>
      <c r="E130" t="s">
        <v>74</v>
      </c>
      <c r="F130" t="s">
        <v>1909</v>
      </c>
      <c r="G130" t="s">
        <v>74</v>
      </c>
      <c r="H130" t="s">
        <v>74</v>
      </c>
      <c r="I130" t="s">
        <v>1910</v>
      </c>
      <c r="J130" t="s">
        <v>1911</v>
      </c>
      <c r="K130" t="s">
        <v>74</v>
      </c>
      <c r="L130" t="s">
        <v>74</v>
      </c>
      <c r="M130" t="s">
        <v>77</v>
      </c>
      <c r="N130" t="s">
        <v>78</v>
      </c>
      <c r="O130" t="s">
        <v>74</v>
      </c>
      <c r="P130" t="s">
        <v>74</v>
      </c>
      <c r="Q130" t="s">
        <v>74</v>
      </c>
      <c r="R130" t="s">
        <v>74</v>
      </c>
      <c r="S130" t="s">
        <v>74</v>
      </c>
      <c r="T130" t="s">
        <v>1912</v>
      </c>
      <c r="U130" t="s">
        <v>1913</v>
      </c>
      <c r="V130" t="s">
        <v>1914</v>
      </c>
      <c r="W130" t="s">
        <v>833</v>
      </c>
      <c r="X130" t="s">
        <v>221</v>
      </c>
      <c r="Y130" t="s">
        <v>1915</v>
      </c>
      <c r="Z130" t="s">
        <v>74</v>
      </c>
      <c r="AA130" t="s">
        <v>1916</v>
      </c>
      <c r="AB130" t="s">
        <v>1917</v>
      </c>
      <c r="AC130" t="s">
        <v>74</v>
      </c>
      <c r="AD130" t="s">
        <v>74</v>
      </c>
      <c r="AE130" t="s">
        <v>74</v>
      </c>
      <c r="AF130" t="s">
        <v>74</v>
      </c>
      <c r="AG130">
        <v>37</v>
      </c>
      <c r="AH130">
        <v>14</v>
      </c>
      <c r="AI130">
        <v>14</v>
      </c>
      <c r="AJ130">
        <v>0</v>
      </c>
      <c r="AK130">
        <v>0</v>
      </c>
      <c r="AL130" t="s">
        <v>245</v>
      </c>
      <c r="AM130" t="s">
        <v>246</v>
      </c>
      <c r="AN130" t="s">
        <v>247</v>
      </c>
      <c r="AO130" t="s">
        <v>1918</v>
      </c>
      <c r="AP130" t="s">
        <v>74</v>
      </c>
      <c r="AQ130" t="s">
        <v>74</v>
      </c>
      <c r="AR130" t="s">
        <v>1919</v>
      </c>
      <c r="AS130" t="s">
        <v>1920</v>
      </c>
      <c r="AT130" t="s">
        <v>91</v>
      </c>
      <c r="AU130">
        <v>2001</v>
      </c>
      <c r="AV130">
        <v>63</v>
      </c>
      <c r="AW130">
        <v>1</v>
      </c>
      <c r="AX130" t="s">
        <v>74</v>
      </c>
      <c r="AY130" t="s">
        <v>74</v>
      </c>
      <c r="AZ130" t="s">
        <v>74</v>
      </c>
      <c r="BA130" t="s">
        <v>74</v>
      </c>
      <c r="BB130">
        <v>61</v>
      </c>
      <c r="BC130">
        <v>74</v>
      </c>
      <c r="BD130" t="s">
        <v>74</v>
      </c>
      <c r="BE130" t="s">
        <v>1921</v>
      </c>
      <c r="BF130" t="str">
        <f>HYPERLINK("http://dx.doi.org/10.1016/S1364-6826(00)00128-0","http://dx.doi.org/10.1016/S1364-6826(00)00128-0")</f>
        <v>http://dx.doi.org/10.1016/S1364-6826(00)00128-0</v>
      </c>
      <c r="BG130" t="s">
        <v>74</v>
      </c>
      <c r="BH130" t="s">
        <v>74</v>
      </c>
      <c r="BI130">
        <v>14</v>
      </c>
      <c r="BJ130" t="s">
        <v>1085</v>
      </c>
      <c r="BK130" t="s">
        <v>94</v>
      </c>
      <c r="BL130" t="s">
        <v>1085</v>
      </c>
      <c r="BM130" t="s">
        <v>1922</v>
      </c>
      <c r="BN130" t="s">
        <v>74</v>
      </c>
      <c r="BO130" t="s">
        <v>74</v>
      </c>
      <c r="BP130" t="s">
        <v>74</v>
      </c>
      <c r="BQ130" t="s">
        <v>74</v>
      </c>
      <c r="BR130" t="s">
        <v>97</v>
      </c>
      <c r="BS130" t="s">
        <v>1923</v>
      </c>
      <c r="BT130" t="str">
        <f>HYPERLINK("https%3A%2F%2Fwww.webofscience.com%2Fwos%2Fwoscc%2Ffull-record%2FWOS:000166551100007","View Full Record in Web of Science")</f>
        <v>View Full Record in Web of Science</v>
      </c>
    </row>
    <row r="131" spans="1:72" x14ac:dyDescent="0.15">
      <c r="A131" t="s">
        <v>72</v>
      </c>
      <c r="B131" t="s">
        <v>1924</v>
      </c>
      <c r="C131" t="s">
        <v>74</v>
      </c>
      <c r="D131" t="s">
        <v>74</v>
      </c>
      <c r="E131" t="s">
        <v>74</v>
      </c>
      <c r="F131" t="s">
        <v>1924</v>
      </c>
      <c r="G131" t="s">
        <v>74</v>
      </c>
      <c r="H131" t="s">
        <v>74</v>
      </c>
      <c r="I131" t="s">
        <v>1925</v>
      </c>
      <c r="J131" t="s">
        <v>1926</v>
      </c>
      <c r="K131" t="s">
        <v>74</v>
      </c>
      <c r="L131" t="s">
        <v>74</v>
      </c>
      <c r="M131" t="s">
        <v>77</v>
      </c>
      <c r="N131" t="s">
        <v>78</v>
      </c>
      <c r="O131" t="s">
        <v>74</v>
      </c>
      <c r="P131" t="s">
        <v>74</v>
      </c>
      <c r="Q131" t="s">
        <v>74</v>
      </c>
      <c r="R131" t="s">
        <v>74</v>
      </c>
      <c r="S131" t="s">
        <v>74</v>
      </c>
      <c r="T131" t="s">
        <v>1927</v>
      </c>
      <c r="U131" t="s">
        <v>1928</v>
      </c>
      <c r="V131" t="s">
        <v>1929</v>
      </c>
      <c r="W131" t="s">
        <v>1930</v>
      </c>
      <c r="X131" t="s">
        <v>1931</v>
      </c>
      <c r="Y131" t="s">
        <v>1932</v>
      </c>
      <c r="Z131" t="s">
        <v>1933</v>
      </c>
      <c r="AA131" t="s">
        <v>1934</v>
      </c>
      <c r="AB131" t="s">
        <v>1935</v>
      </c>
      <c r="AC131" t="s">
        <v>74</v>
      </c>
      <c r="AD131" t="s">
        <v>74</v>
      </c>
      <c r="AE131" t="s">
        <v>74</v>
      </c>
      <c r="AF131" t="s">
        <v>74</v>
      </c>
      <c r="AG131">
        <v>58</v>
      </c>
      <c r="AH131">
        <v>37</v>
      </c>
      <c r="AI131">
        <v>42</v>
      </c>
      <c r="AJ131">
        <v>0</v>
      </c>
      <c r="AK131">
        <v>9</v>
      </c>
      <c r="AL131" t="s">
        <v>813</v>
      </c>
      <c r="AM131" t="s">
        <v>814</v>
      </c>
      <c r="AN131" t="s">
        <v>815</v>
      </c>
      <c r="AO131" t="s">
        <v>1936</v>
      </c>
      <c r="AP131" t="s">
        <v>1937</v>
      </c>
      <c r="AQ131" t="s">
        <v>74</v>
      </c>
      <c r="AR131" t="s">
        <v>1938</v>
      </c>
      <c r="AS131" t="s">
        <v>1939</v>
      </c>
      <c r="AT131" t="s">
        <v>91</v>
      </c>
      <c r="AU131">
        <v>2001</v>
      </c>
      <c r="AV131">
        <v>28</v>
      </c>
      <c r="AW131">
        <v>1</v>
      </c>
      <c r="AX131" t="s">
        <v>74</v>
      </c>
      <c r="AY131" t="s">
        <v>74</v>
      </c>
      <c r="AZ131" t="s">
        <v>74</v>
      </c>
      <c r="BA131" t="s">
        <v>74</v>
      </c>
      <c r="BB131">
        <v>47</v>
      </c>
      <c r="BC131">
        <v>58</v>
      </c>
      <c r="BD131" t="s">
        <v>74</v>
      </c>
      <c r="BE131" t="s">
        <v>1940</v>
      </c>
      <c r="BF131" t="str">
        <f>HYPERLINK("http://dx.doi.org/10.1046/j.1365-2699.2001.00513.x","http://dx.doi.org/10.1046/j.1365-2699.2001.00513.x")</f>
        <v>http://dx.doi.org/10.1046/j.1365-2699.2001.00513.x</v>
      </c>
      <c r="BG131" t="s">
        <v>74</v>
      </c>
      <c r="BH131" t="s">
        <v>74</v>
      </c>
      <c r="BI131">
        <v>12</v>
      </c>
      <c r="BJ131" t="s">
        <v>1941</v>
      </c>
      <c r="BK131" t="s">
        <v>94</v>
      </c>
      <c r="BL131" t="s">
        <v>1942</v>
      </c>
      <c r="BM131" t="s">
        <v>1943</v>
      </c>
      <c r="BN131" t="s">
        <v>74</v>
      </c>
      <c r="BO131" t="s">
        <v>74</v>
      </c>
      <c r="BP131" t="s">
        <v>74</v>
      </c>
      <c r="BQ131" t="s">
        <v>74</v>
      </c>
      <c r="BR131" t="s">
        <v>97</v>
      </c>
      <c r="BS131" t="s">
        <v>1944</v>
      </c>
      <c r="BT131" t="str">
        <f>HYPERLINK("https%3A%2F%2Fwww.webofscience.com%2Fwos%2Fwoscc%2Ffull-record%2FWOS:000168979500004","View Full Record in Web of Science")</f>
        <v>View Full Record in Web of Science</v>
      </c>
    </row>
    <row r="132" spans="1:72" x14ac:dyDescent="0.15">
      <c r="A132" t="s">
        <v>72</v>
      </c>
      <c r="B132" t="s">
        <v>1945</v>
      </c>
      <c r="C132" t="s">
        <v>74</v>
      </c>
      <c r="D132" t="s">
        <v>74</v>
      </c>
      <c r="E132" t="s">
        <v>74</v>
      </c>
      <c r="F132" t="s">
        <v>1945</v>
      </c>
      <c r="G132" t="s">
        <v>74</v>
      </c>
      <c r="H132" t="s">
        <v>74</v>
      </c>
      <c r="I132" t="s">
        <v>1946</v>
      </c>
      <c r="J132" t="s">
        <v>1947</v>
      </c>
      <c r="K132" t="s">
        <v>74</v>
      </c>
      <c r="L132" t="s">
        <v>74</v>
      </c>
      <c r="M132" t="s">
        <v>77</v>
      </c>
      <c r="N132" t="s">
        <v>78</v>
      </c>
      <c r="O132" t="s">
        <v>74</v>
      </c>
      <c r="P132" t="s">
        <v>74</v>
      </c>
      <c r="Q132" t="s">
        <v>74</v>
      </c>
      <c r="R132" t="s">
        <v>74</v>
      </c>
      <c r="S132" t="s">
        <v>74</v>
      </c>
      <c r="T132" t="s">
        <v>74</v>
      </c>
      <c r="U132" t="s">
        <v>1948</v>
      </c>
      <c r="V132" t="s">
        <v>1949</v>
      </c>
      <c r="W132" t="s">
        <v>833</v>
      </c>
      <c r="X132" t="s">
        <v>221</v>
      </c>
      <c r="Y132" t="s">
        <v>1950</v>
      </c>
      <c r="Z132" t="s">
        <v>74</v>
      </c>
      <c r="AA132" t="s">
        <v>74</v>
      </c>
      <c r="AB132" t="s">
        <v>74</v>
      </c>
      <c r="AC132" t="s">
        <v>74</v>
      </c>
      <c r="AD132" t="s">
        <v>74</v>
      </c>
      <c r="AE132" t="s">
        <v>74</v>
      </c>
      <c r="AF132" t="s">
        <v>74</v>
      </c>
      <c r="AG132">
        <v>21</v>
      </c>
      <c r="AH132">
        <v>31</v>
      </c>
      <c r="AI132">
        <v>35</v>
      </c>
      <c r="AJ132">
        <v>0</v>
      </c>
      <c r="AK132">
        <v>1</v>
      </c>
      <c r="AL132" t="s">
        <v>1842</v>
      </c>
      <c r="AM132" t="s">
        <v>1843</v>
      </c>
      <c r="AN132" t="s">
        <v>1844</v>
      </c>
      <c r="AO132" t="s">
        <v>1951</v>
      </c>
      <c r="AP132" t="s">
        <v>74</v>
      </c>
      <c r="AQ132" t="s">
        <v>74</v>
      </c>
      <c r="AR132" t="s">
        <v>1952</v>
      </c>
      <c r="AS132" t="s">
        <v>1953</v>
      </c>
      <c r="AT132" t="s">
        <v>74</v>
      </c>
      <c r="AU132">
        <v>2001</v>
      </c>
      <c r="AV132">
        <v>14</v>
      </c>
      <c r="AW132">
        <v>1</v>
      </c>
      <c r="AX132" t="s">
        <v>74</v>
      </c>
      <c r="AY132" t="s">
        <v>74</v>
      </c>
      <c r="AZ132" t="s">
        <v>74</v>
      </c>
      <c r="BA132" t="s">
        <v>74</v>
      </c>
      <c r="BB132">
        <v>30</v>
      </c>
      <c r="BC132">
        <v>44</v>
      </c>
      <c r="BD132" t="s">
        <v>74</v>
      </c>
      <c r="BE132" t="s">
        <v>1954</v>
      </c>
      <c r="BF132" t="str">
        <f>HYPERLINK("http://dx.doi.org/10.1175/1520-0442(2001)014&lt;0030:ACOFNW&gt;2.0.CO;2","http://dx.doi.org/10.1175/1520-0442(2001)014&lt;0030:ACOFNW&gt;2.0.CO;2")</f>
        <v>http://dx.doi.org/10.1175/1520-0442(2001)014&lt;0030:ACOFNW&gt;2.0.CO;2</v>
      </c>
      <c r="BG132" t="s">
        <v>74</v>
      </c>
      <c r="BH132" t="s">
        <v>74</v>
      </c>
      <c r="BI132">
        <v>15</v>
      </c>
      <c r="BJ132" t="s">
        <v>167</v>
      </c>
      <c r="BK132" t="s">
        <v>94</v>
      </c>
      <c r="BL132" t="s">
        <v>167</v>
      </c>
      <c r="BM132" t="s">
        <v>1955</v>
      </c>
      <c r="BN132" t="s">
        <v>74</v>
      </c>
      <c r="BO132" t="s">
        <v>1956</v>
      </c>
      <c r="BP132" t="s">
        <v>74</v>
      </c>
      <c r="BQ132" t="s">
        <v>74</v>
      </c>
      <c r="BR132" t="s">
        <v>97</v>
      </c>
      <c r="BS132" t="s">
        <v>1957</v>
      </c>
      <c r="BT132" t="str">
        <f>HYPERLINK("https%3A%2F%2Fwww.webofscience.com%2Fwos%2Fwoscc%2Ffull-record%2FWOS:000166474100003","View Full Record in Web of Science")</f>
        <v>View Full Record in Web of Science</v>
      </c>
    </row>
    <row r="133" spans="1:72" x14ac:dyDescent="0.15">
      <c r="A133" t="s">
        <v>72</v>
      </c>
      <c r="B133" t="s">
        <v>1958</v>
      </c>
      <c r="C133" t="s">
        <v>74</v>
      </c>
      <c r="D133" t="s">
        <v>74</v>
      </c>
      <c r="E133" t="s">
        <v>74</v>
      </c>
      <c r="F133" t="s">
        <v>1958</v>
      </c>
      <c r="G133" t="s">
        <v>74</v>
      </c>
      <c r="H133" t="s">
        <v>74</v>
      </c>
      <c r="I133" t="s">
        <v>1959</v>
      </c>
      <c r="J133" t="s">
        <v>1947</v>
      </c>
      <c r="K133" t="s">
        <v>74</v>
      </c>
      <c r="L133" t="s">
        <v>74</v>
      </c>
      <c r="M133" t="s">
        <v>77</v>
      </c>
      <c r="N133" t="s">
        <v>78</v>
      </c>
      <c r="O133" t="s">
        <v>74</v>
      </c>
      <c r="P133" t="s">
        <v>74</v>
      </c>
      <c r="Q133" t="s">
        <v>74</v>
      </c>
      <c r="R133" t="s">
        <v>74</v>
      </c>
      <c r="S133" t="s">
        <v>74</v>
      </c>
      <c r="T133" t="s">
        <v>74</v>
      </c>
      <c r="U133" t="s">
        <v>1960</v>
      </c>
      <c r="V133" t="s">
        <v>1961</v>
      </c>
      <c r="W133" t="s">
        <v>1962</v>
      </c>
      <c r="X133" t="s">
        <v>1963</v>
      </c>
      <c r="Y133" t="s">
        <v>1964</v>
      </c>
      <c r="Z133" t="s">
        <v>74</v>
      </c>
      <c r="AA133" t="s">
        <v>74</v>
      </c>
      <c r="AB133" t="s">
        <v>74</v>
      </c>
      <c r="AC133" t="s">
        <v>74</v>
      </c>
      <c r="AD133" t="s">
        <v>74</v>
      </c>
      <c r="AE133" t="s">
        <v>74</v>
      </c>
      <c r="AF133" t="s">
        <v>74</v>
      </c>
      <c r="AG133">
        <v>33</v>
      </c>
      <c r="AH133">
        <v>8</v>
      </c>
      <c r="AI133">
        <v>8</v>
      </c>
      <c r="AJ133">
        <v>0</v>
      </c>
      <c r="AK133">
        <v>3</v>
      </c>
      <c r="AL133" t="s">
        <v>1842</v>
      </c>
      <c r="AM133" t="s">
        <v>1843</v>
      </c>
      <c r="AN133" t="s">
        <v>1844</v>
      </c>
      <c r="AO133" t="s">
        <v>1951</v>
      </c>
      <c r="AP133" t="s">
        <v>74</v>
      </c>
      <c r="AQ133" t="s">
        <v>74</v>
      </c>
      <c r="AR133" t="s">
        <v>1952</v>
      </c>
      <c r="AS133" t="s">
        <v>1953</v>
      </c>
      <c r="AT133" t="s">
        <v>74</v>
      </c>
      <c r="AU133">
        <v>2001</v>
      </c>
      <c r="AV133">
        <v>14</v>
      </c>
      <c r="AW133">
        <v>3</v>
      </c>
      <c r="AX133" t="s">
        <v>74</v>
      </c>
      <c r="AY133" t="s">
        <v>74</v>
      </c>
      <c r="AZ133" t="s">
        <v>74</v>
      </c>
      <c r="BA133" t="s">
        <v>74</v>
      </c>
      <c r="BB133">
        <v>268</v>
      </c>
      <c r="BC133">
        <v>283</v>
      </c>
      <c r="BD133" t="s">
        <v>74</v>
      </c>
      <c r="BE133" t="s">
        <v>1965</v>
      </c>
      <c r="BF133" t="str">
        <f>HYPERLINK("http://dx.doi.org/10.1175/1520-0442(2001)014&lt;0268:TROTPR&gt;2.0.CO;2","http://dx.doi.org/10.1175/1520-0442(2001)014&lt;0268:TROTPR&gt;2.0.CO;2")</f>
        <v>http://dx.doi.org/10.1175/1520-0442(2001)014&lt;0268:TROTPR&gt;2.0.CO;2</v>
      </c>
      <c r="BG133" t="s">
        <v>74</v>
      </c>
      <c r="BH133" t="s">
        <v>74</v>
      </c>
      <c r="BI133">
        <v>16</v>
      </c>
      <c r="BJ133" t="s">
        <v>167</v>
      </c>
      <c r="BK133" t="s">
        <v>94</v>
      </c>
      <c r="BL133" t="s">
        <v>167</v>
      </c>
      <c r="BM133" t="s">
        <v>1966</v>
      </c>
      <c r="BN133" t="s">
        <v>74</v>
      </c>
      <c r="BO133" t="s">
        <v>1850</v>
      </c>
      <c r="BP133" t="s">
        <v>74</v>
      </c>
      <c r="BQ133" t="s">
        <v>74</v>
      </c>
      <c r="BR133" t="s">
        <v>97</v>
      </c>
      <c r="BS133" t="s">
        <v>1967</v>
      </c>
      <c r="BT133" t="str">
        <f>HYPERLINK("https%3A%2F%2Fwww.webofscience.com%2Fwos%2Fwoscc%2Ffull-record%2FWOS:000166836400003","View Full Record in Web of Science")</f>
        <v>View Full Record in Web of Science</v>
      </c>
    </row>
    <row r="134" spans="1:72" x14ac:dyDescent="0.15">
      <c r="A134" t="s">
        <v>72</v>
      </c>
      <c r="B134" t="s">
        <v>1968</v>
      </c>
      <c r="C134" t="s">
        <v>74</v>
      </c>
      <c r="D134" t="s">
        <v>74</v>
      </c>
      <c r="E134" t="s">
        <v>74</v>
      </c>
      <c r="F134" t="s">
        <v>1968</v>
      </c>
      <c r="G134" t="s">
        <v>74</v>
      </c>
      <c r="H134" t="s">
        <v>74</v>
      </c>
      <c r="I134" t="s">
        <v>1969</v>
      </c>
      <c r="J134" t="s">
        <v>1947</v>
      </c>
      <c r="K134" t="s">
        <v>74</v>
      </c>
      <c r="L134" t="s">
        <v>74</v>
      </c>
      <c r="M134" t="s">
        <v>77</v>
      </c>
      <c r="N134" t="s">
        <v>78</v>
      </c>
      <c r="O134" t="s">
        <v>74</v>
      </c>
      <c r="P134" t="s">
        <v>74</v>
      </c>
      <c r="Q134" t="s">
        <v>74</v>
      </c>
      <c r="R134" t="s">
        <v>74</v>
      </c>
      <c r="S134" t="s">
        <v>74</v>
      </c>
      <c r="T134" t="s">
        <v>74</v>
      </c>
      <c r="U134" t="s">
        <v>1970</v>
      </c>
      <c r="V134" t="s">
        <v>1971</v>
      </c>
      <c r="W134" t="s">
        <v>1972</v>
      </c>
      <c r="X134" t="s">
        <v>1973</v>
      </c>
      <c r="Y134" t="s">
        <v>1974</v>
      </c>
      <c r="Z134" t="s">
        <v>1975</v>
      </c>
      <c r="AA134" t="s">
        <v>1976</v>
      </c>
      <c r="AB134" t="s">
        <v>1977</v>
      </c>
      <c r="AC134" t="s">
        <v>74</v>
      </c>
      <c r="AD134" t="s">
        <v>74</v>
      </c>
      <c r="AE134" t="s">
        <v>74</v>
      </c>
      <c r="AF134" t="s">
        <v>74</v>
      </c>
      <c r="AG134">
        <v>29</v>
      </c>
      <c r="AH134">
        <v>16</v>
      </c>
      <c r="AI134">
        <v>19</v>
      </c>
      <c r="AJ134">
        <v>0</v>
      </c>
      <c r="AK134">
        <v>8</v>
      </c>
      <c r="AL134" t="s">
        <v>1842</v>
      </c>
      <c r="AM134" t="s">
        <v>1843</v>
      </c>
      <c r="AN134" t="s">
        <v>1844</v>
      </c>
      <c r="AO134" t="s">
        <v>1951</v>
      </c>
      <c r="AP134" t="s">
        <v>1978</v>
      </c>
      <c r="AQ134" t="s">
        <v>74</v>
      </c>
      <c r="AR134" t="s">
        <v>1952</v>
      </c>
      <c r="AS134" t="s">
        <v>1953</v>
      </c>
      <c r="AT134" t="s">
        <v>74</v>
      </c>
      <c r="AU134">
        <v>2001</v>
      </c>
      <c r="AV134">
        <v>14</v>
      </c>
      <c r="AW134">
        <v>4</v>
      </c>
      <c r="AX134" t="s">
        <v>74</v>
      </c>
      <c r="AY134" t="s">
        <v>74</v>
      </c>
      <c r="AZ134" t="s">
        <v>74</v>
      </c>
      <c r="BA134" t="s">
        <v>74</v>
      </c>
      <c r="BB134">
        <v>520</v>
      </c>
      <c r="BC134">
        <v>532</v>
      </c>
      <c r="BD134" t="s">
        <v>74</v>
      </c>
      <c r="BE134" t="s">
        <v>1979</v>
      </c>
      <c r="BF134" t="str">
        <f>HYPERLINK("http://dx.doi.org/10.1175/1520-0442(2001)014&lt;0520:CMSOEO&gt;2.0.CO;2","http://dx.doi.org/10.1175/1520-0442(2001)014&lt;0520:CMSOEO&gt;2.0.CO;2")</f>
        <v>http://dx.doi.org/10.1175/1520-0442(2001)014&lt;0520:CMSOEO&gt;2.0.CO;2</v>
      </c>
      <c r="BG134" t="s">
        <v>74</v>
      </c>
      <c r="BH134" t="s">
        <v>74</v>
      </c>
      <c r="BI134">
        <v>13</v>
      </c>
      <c r="BJ134" t="s">
        <v>167</v>
      </c>
      <c r="BK134" t="s">
        <v>94</v>
      </c>
      <c r="BL134" t="s">
        <v>167</v>
      </c>
      <c r="BM134" t="s">
        <v>1980</v>
      </c>
      <c r="BN134" t="s">
        <v>74</v>
      </c>
      <c r="BO134" t="s">
        <v>1850</v>
      </c>
      <c r="BP134" t="s">
        <v>74</v>
      </c>
      <c r="BQ134" t="s">
        <v>74</v>
      </c>
      <c r="BR134" t="s">
        <v>97</v>
      </c>
      <c r="BS134" t="s">
        <v>1981</v>
      </c>
      <c r="BT134" t="str">
        <f>HYPERLINK("https%3A%2F%2Fwww.webofscience.com%2Fwos%2Fwoscc%2Ffull-record%2FWOS:000166857800004","View Full Record in Web of Science")</f>
        <v>View Full Record in Web of Science</v>
      </c>
    </row>
    <row r="135" spans="1:72" x14ac:dyDescent="0.15">
      <c r="A135" t="s">
        <v>72</v>
      </c>
      <c r="B135" t="s">
        <v>1982</v>
      </c>
      <c r="C135" t="s">
        <v>74</v>
      </c>
      <c r="D135" t="s">
        <v>74</v>
      </c>
      <c r="E135" t="s">
        <v>74</v>
      </c>
      <c r="F135" t="s">
        <v>1982</v>
      </c>
      <c r="G135" t="s">
        <v>74</v>
      </c>
      <c r="H135" t="s">
        <v>74</v>
      </c>
      <c r="I135" t="s">
        <v>1983</v>
      </c>
      <c r="J135" t="s">
        <v>1947</v>
      </c>
      <c r="K135" t="s">
        <v>74</v>
      </c>
      <c r="L135" t="s">
        <v>74</v>
      </c>
      <c r="M135" t="s">
        <v>77</v>
      </c>
      <c r="N135" t="s">
        <v>78</v>
      </c>
      <c r="O135" t="s">
        <v>74</v>
      </c>
      <c r="P135" t="s">
        <v>74</v>
      </c>
      <c r="Q135" t="s">
        <v>74</v>
      </c>
      <c r="R135" t="s">
        <v>74</v>
      </c>
      <c r="S135" t="s">
        <v>74</v>
      </c>
      <c r="T135" t="s">
        <v>74</v>
      </c>
      <c r="U135" t="s">
        <v>1984</v>
      </c>
      <c r="V135" t="s">
        <v>1985</v>
      </c>
      <c r="W135" t="s">
        <v>1986</v>
      </c>
      <c r="X135" t="s">
        <v>74</v>
      </c>
      <c r="Y135" t="s">
        <v>1987</v>
      </c>
      <c r="Z135" t="s">
        <v>1988</v>
      </c>
      <c r="AA135" t="s">
        <v>74</v>
      </c>
      <c r="AB135" t="s">
        <v>74</v>
      </c>
      <c r="AC135" t="s">
        <v>74</v>
      </c>
      <c r="AD135" t="s">
        <v>74</v>
      </c>
      <c r="AE135" t="s">
        <v>74</v>
      </c>
      <c r="AF135" t="s">
        <v>74</v>
      </c>
      <c r="AG135">
        <v>36</v>
      </c>
      <c r="AH135">
        <v>0</v>
      </c>
      <c r="AI135">
        <v>0</v>
      </c>
      <c r="AJ135">
        <v>0</v>
      </c>
      <c r="AK135">
        <v>1</v>
      </c>
      <c r="AL135" t="s">
        <v>1842</v>
      </c>
      <c r="AM135" t="s">
        <v>1843</v>
      </c>
      <c r="AN135" t="s">
        <v>1844</v>
      </c>
      <c r="AO135" t="s">
        <v>1951</v>
      </c>
      <c r="AP135" t="s">
        <v>1978</v>
      </c>
      <c r="AQ135" t="s">
        <v>74</v>
      </c>
      <c r="AR135" t="s">
        <v>1952</v>
      </c>
      <c r="AS135" t="s">
        <v>1953</v>
      </c>
      <c r="AT135" t="s">
        <v>74</v>
      </c>
      <c r="AU135">
        <v>2001</v>
      </c>
      <c r="AV135">
        <v>14</v>
      </c>
      <c r="AW135">
        <v>6</v>
      </c>
      <c r="AX135" t="s">
        <v>74</v>
      </c>
      <c r="AY135" t="s">
        <v>74</v>
      </c>
      <c r="AZ135" t="s">
        <v>74</v>
      </c>
      <c r="BA135" t="s">
        <v>74</v>
      </c>
      <c r="BB135">
        <v>997</v>
      </c>
      <c r="BC135">
        <v>1016</v>
      </c>
      <c r="BD135" t="s">
        <v>74</v>
      </c>
      <c r="BE135" t="s">
        <v>74</v>
      </c>
      <c r="BF135" t="s">
        <v>74</v>
      </c>
      <c r="BG135" t="s">
        <v>74</v>
      </c>
      <c r="BH135" t="s">
        <v>74</v>
      </c>
      <c r="BI135">
        <v>20</v>
      </c>
      <c r="BJ135" t="s">
        <v>167</v>
      </c>
      <c r="BK135" t="s">
        <v>94</v>
      </c>
      <c r="BL135" t="s">
        <v>167</v>
      </c>
      <c r="BM135" t="s">
        <v>1989</v>
      </c>
      <c r="BN135" t="s">
        <v>74</v>
      </c>
      <c r="BO135" t="s">
        <v>1850</v>
      </c>
      <c r="BP135" t="s">
        <v>74</v>
      </c>
      <c r="BQ135" t="s">
        <v>74</v>
      </c>
      <c r="BR135" t="s">
        <v>97</v>
      </c>
      <c r="BS135" t="s">
        <v>1990</v>
      </c>
      <c r="BT135" t="str">
        <f>HYPERLINK("https%3A%2F%2Fwww.webofscience.com%2Fwos%2Fwoscc%2Ffull-record%2FWOS:000167674000001","View Full Record in Web of Science")</f>
        <v>View Full Record in Web of Science</v>
      </c>
    </row>
    <row r="136" spans="1:72" x14ac:dyDescent="0.15">
      <c r="A136" t="s">
        <v>72</v>
      </c>
      <c r="B136" t="s">
        <v>1991</v>
      </c>
      <c r="C136" t="s">
        <v>74</v>
      </c>
      <c r="D136" t="s">
        <v>74</v>
      </c>
      <c r="E136" t="s">
        <v>74</v>
      </c>
      <c r="F136" t="s">
        <v>1991</v>
      </c>
      <c r="G136" t="s">
        <v>74</v>
      </c>
      <c r="H136" t="s">
        <v>74</v>
      </c>
      <c r="I136" t="s">
        <v>1992</v>
      </c>
      <c r="J136" t="s">
        <v>1947</v>
      </c>
      <c r="K136" t="s">
        <v>74</v>
      </c>
      <c r="L136" t="s">
        <v>74</v>
      </c>
      <c r="M136" t="s">
        <v>77</v>
      </c>
      <c r="N136" t="s">
        <v>78</v>
      </c>
      <c r="O136" t="s">
        <v>74</v>
      </c>
      <c r="P136" t="s">
        <v>74</v>
      </c>
      <c r="Q136" t="s">
        <v>74</v>
      </c>
      <c r="R136" t="s">
        <v>74</v>
      </c>
      <c r="S136" t="s">
        <v>74</v>
      </c>
      <c r="T136" t="s">
        <v>74</v>
      </c>
      <c r="U136" t="s">
        <v>1993</v>
      </c>
      <c r="V136" t="s">
        <v>1994</v>
      </c>
      <c r="W136" t="s">
        <v>1995</v>
      </c>
      <c r="X136" t="s">
        <v>1996</v>
      </c>
      <c r="Y136" t="s">
        <v>1997</v>
      </c>
      <c r="Z136" t="s">
        <v>1998</v>
      </c>
      <c r="AA136" t="s">
        <v>1999</v>
      </c>
      <c r="AB136" t="s">
        <v>74</v>
      </c>
      <c r="AC136" t="s">
        <v>74</v>
      </c>
      <c r="AD136" t="s">
        <v>74</v>
      </c>
      <c r="AE136" t="s">
        <v>74</v>
      </c>
      <c r="AF136" t="s">
        <v>74</v>
      </c>
      <c r="AG136">
        <v>28</v>
      </c>
      <c r="AH136">
        <v>120</v>
      </c>
      <c r="AI136">
        <v>142</v>
      </c>
      <c r="AJ136">
        <v>1</v>
      </c>
      <c r="AK136">
        <v>25</v>
      </c>
      <c r="AL136" t="s">
        <v>1842</v>
      </c>
      <c r="AM136" t="s">
        <v>1843</v>
      </c>
      <c r="AN136" t="s">
        <v>1844</v>
      </c>
      <c r="AO136" t="s">
        <v>1951</v>
      </c>
      <c r="AP136" t="s">
        <v>74</v>
      </c>
      <c r="AQ136" t="s">
        <v>74</v>
      </c>
      <c r="AR136" t="s">
        <v>1952</v>
      </c>
      <c r="AS136" t="s">
        <v>1953</v>
      </c>
      <c r="AT136" t="s">
        <v>74</v>
      </c>
      <c r="AU136">
        <v>2001</v>
      </c>
      <c r="AV136">
        <v>14</v>
      </c>
      <c r="AW136">
        <v>6</v>
      </c>
      <c r="AX136" t="s">
        <v>74</v>
      </c>
      <c r="AY136" t="s">
        <v>74</v>
      </c>
      <c r="AZ136" t="s">
        <v>74</v>
      </c>
      <c r="BA136" t="s">
        <v>74</v>
      </c>
      <c r="BB136">
        <v>1092</v>
      </c>
      <c r="BC136">
        <v>1111</v>
      </c>
      <c r="BD136" t="s">
        <v>74</v>
      </c>
      <c r="BE136" t="s">
        <v>2000</v>
      </c>
      <c r="BF136" t="str">
        <f>HYPERLINK("http://dx.doi.org/10.1175/1520-0442(2001)014&lt;1092:GPATFP&gt;2.0.CO;2","http://dx.doi.org/10.1175/1520-0442(2001)014&lt;1092:GPATFP&gt;2.0.CO;2")</f>
        <v>http://dx.doi.org/10.1175/1520-0442(2001)014&lt;1092:GPATFP&gt;2.0.CO;2</v>
      </c>
      <c r="BG136" t="s">
        <v>74</v>
      </c>
      <c r="BH136" t="s">
        <v>74</v>
      </c>
      <c r="BI136">
        <v>20</v>
      </c>
      <c r="BJ136" t="s">
        <v>167</v>
      </c>
      <c r="BK136" t="s">
        <v>94</v>
      </c>
      <c r="BL136" t="s">
        <v>167</v>
      </c>
      <c r="BM136" t="s">
        <v>1989</v>
      </c>
      <c r="BN136" t="s">
        <v>74</v>
      </c>
      <c r="BO136" t="s">
        <v>1755</v>
      </c>
      <c r="BP136" t="s">
        <v>74</v>
      </c>
      <c r="BQ136" t="s">
        <v>74</v>
      </c>
      <c r="BR136" t="s">
        <v>97</v>
      </c>
      <c r="BS136" t="s">
        <v>2001</v>
      </c>
      <c r="BT136" t="str">
        <f>HYPERLINK("https%3A%2F%2Fwww.webofscience.com%2Fwos%2Fwoscc%2Ffull-record%2FWOS:000167674000008","View Full Record in Web of Science")</f>
        <v>View Full Record in Web of Science</v>
      </c>
    </row>
    <row r="137" spans="1:72" x14ac:dyDescent="0.15">
      <c r="A137" t="s">
        <v>72</v>
      </c>
      <c r="B137" t="s">
        <v>2002</v>
      </c>
      <c r="C137" t="s">
        <v>74</v>
      </c>
      <c r="D137" t="s">
        <v>74</v>
      </c>
      <c r="E137" t="s">
        <v>74</v>
      </c>
      <c r="F137" t="s">
        <v>2002</v>
      </c>
      <c r="G137" t="s">
        <v>74</v>
      </c>
      <c r="H137" t="s">
        <v>74</v>
      </c>
      <c r="I137" t="s">
        <v>2003</v>
      </c>
      <c r="J137" t="s">
        <v>1947</v>
      </c>
      <c r="K137" t="s">
        <v>74</v>
      </c>
      <c r="L137" t="s">
        <v>74</v>
      </c>
      <c r="M137" t="s">
        <v>77</v>
      </c>
      <c r="N137" t="s">
        <v>2004</v>
      </c>
      <c r="O137" t="s">
        <v>74</v>
      </c>
      <c r="P137" t="s">
        <v>74</v>
      </c>
      <c r="Q137" t="s">
        <v>74</v>
      </c>
      <c r="R137" t="s">
        <v>74</v>
      </c>
      <c r="S137" t="s">
        <v>74</v>
      </c>
      <c r="T137" t="s">
        <v>74</v>
      </c>
      <c r="U137" t="s">
        <v>2005</v>
      </c>
      <c r="V137" t="s">
        <v>74</v>
      </c>
      <c r="W137" t="s">
        <v>2006</v>
      </c>
      <c r="X137" t="s">
        <v>2007</v>
      </c>
      <c r="Y137" t="s">
        <v>2008</v>
      </c>
      <c r="Z137" t="s">
        <v>2009</v>
      </c>
      <c r="AA137" t="s">
        <v>2010</v>
      </c>
      <c r="AB137" t="s">
        <v>74</v>
      </c>
      <c r="AC137" t="s">
        <v>74</v>
      </c>
      <c r="AD137" t="s">
        <v>74</v>
      </c>
      <c r="AE137" t="s">
        <v>74</v>
      </c>
      <c r="AF137" t="s">
        <v>74</v>
      </c>
      <c r="AG137">
        <v>7</v>
      </c>
      <c r="AH137">
        <v>1</v>
      </c>
      <c r="AI137">
        <v>1</v>
      </c>
      <c r="AJ137">
        <v>0</v>
      </c>
      <c r="AK137">
        <v>2</v>
      </c>
      <c r="AL137" t="s">
        <v>1842</v>
      </c>
      <c r="AM137" t="s">
        <v>1843</v>
      </c>
      <c r="AN137" t="s">
        <v>2011</v>
      </c>
      <c r="AO137" t="s">
        <v>1951</v>
      </c>
      <c r="AP137" t="s">
        <v>1978</v>
      </c>
      <c r="AQ137" t="s">
        <v>74</v>
      </c>
      <c r="AR137" t="s">
        <v>1952</v>
      </c>
      <c r="AS137" t="s">
        <v>1953</v>
      </c>
      <c r="AT137" t="s">
        <v>74</v>
      </c>
      <c r="AU137">
        <v>2001</v>
      </c>
      <c r="AV137">
        <v>14</v>
      </c>
      <c r="AW137">
        <v>6</v>
      </c>
      <c r="AX137" t="s">
        <v>74</v>
      </c>
      <c r="AY137" t="s">
        <v>74</v>
      </c>
      <c r="AZ137" t="s">
        <v>74</v>
      </c>
      <c r="BA137" t="s">
        <v>74</v>
      </c>
      <c r="BB137">
        <v>1329</v>
      </c>
      <c r="BC137">
        <v>1331</v>
      </c>
      <c r="BD137" t="s">
        <v>74</v>
      </c>
      <c r="BE137" t="s">
        <v>2012</v>
      </c>
      <c r="BF137" t="str">
        <f>HYPERLINK("http://dx.doi.org/10.1175/1520-0442(2001)014&lt;1329:COSMTH&gt;2.0.CO;2","http://dx.doi.org/10.1175/1520-0442(2001)014&lt;1329:COSMTH&gt;2.0.CO;2")</f>
        <v>http://dx.doi.org/10.1175/1520-0442(2001)014&lt;1329:COSMTH&gt;2.0.CO;2</v>
      </c>
      <c r="BG137" t="s">
        <v>74</v>
      </c>
      <c r="BH137" t="s">
        <v>74</v>
      </c>
      <c r="BI137">
        <v>3</v>
      </c>
      <c r="BJ137" t="s">
        <v>167</v>
      </c>
      <c r="BK137" t="s">
        <v>94</v>
      </c>
      <c r="BL137" t="s">
        <v>167</v>
      </c>
      <c r="BM137" t="s">
        <v>1989</v>
      </c>
      <c r="BN137" t="s">
        <v>74</v>
      </c>
      <c r="BO137" t="s">
        <v>1850</v>
      </c>
      <c r="BP137" t="s">
        <v>74</v>
      </c>
      <c r="BQ137" t="s">
        <v>74</v>
      </c>
      <c r="BR137" t="s">
        <v>97</v>
      </c>
      <c r="BS137" t="s">
        <v>2013</v>
      </c>
      <c r="BT137" t="str">
        <f>HYPERLINK("https%3A%2F%2Fwww.webofscience.com%2Fwos%2Fwoscc%2Ffull-record%2FWOS:000167674000022","View Full Record in Web of Science")</f>
        <v>View Full Record in Web of Science</v>
      </c>
    </row>
    <row r="138" spans="1:72" x14ac:dyDescent="0.15">
      <c r="A138" t="s">
        <v>72</v>
      </c>
      <c r="B138" t="s">
        <v>2014</v>
      </c>
      <c r="C138" t="s">
        <v>74</v>
      </c>
      <c r="D138" t="s">
        <v>74</v>
      </c>
      <c r="E138" t="s">
        <v>74</v>
      </c>
      <c r="F138" t="s">
        <v>2014</v>
      </c>
      <c r="G138" t="s">
        <v>74</v>
      </c>
      <c r="H138" t="s">
        <v>74</v>
      </c>
      <c r="I138" t="s">
        <v>2015</v>
      </c>
      <c r="J138" t="s">
        <v>1947</v>
      </c>
      <c r="K138" t="s">
        <v>74</v>
      </c>
      <c r="L138" t="s">
        <v>74</v>
      </c>
      <c r="M138" t="s">
        <v>77</v>
      </c>
      <c r="N138" t="s">
        <v>2004</v>
      </c>
      <c r="O138" t="s">
        <v>74</v>
      </c>
      <c r="P138" t="s">
        <v>74</v>
      </c>
      <c r="Q138" t="s">
        <v>74</v>
      </c>
      <c r="R138" t="s">
        <v>74</v>
      </c>
      <c r="S138" t="s">
        <v>74</v>
      </c>
      <c r="T138" t="s">
        <v>74</v>
      </c>
      <c r="U138" t="s">
        <v>1319</v>
      </c>
      <c r="V138" t="s">
        <v>74</v>
      </c>
      <c r="W138" t="s">
        <v>2016</v>
      </c>
      <c r="X138" t="s">
        <v>1442</v>
      </c>
      <c r="Y138" t="s">
        <v>2017</v>
      </c>
      <c r="Z138" t="s">
        <v>74</v>
      </c>
      <c r="AA138" t="s">
        <v>2018</v>
      </c>
      <c r="AB138" t="s">
        <v>2019</v>
      </c>
      <c r="AC138" t="s">
        <v>74</v>
      </c>
      <c r="AD138" t="s">
        <v>74</v>
      </c>
      <c r="AE138" t="s">
        <v>74</v>
      </c>
      <c r="AF138" t="s">
        <v>74</v>
      </c>
      <c r="AG138">
        <v>7</v>
      </c>
      <c r="AH138">
        <v>4</v>
      </c>
      <c r="AI138">
        <v>4</v>
      </c>
      <c r="AJ138">
        <v>0</v>
      </c>
      <c r="AK138">
        <v>1</v>
      </c>
      <c r="AL138" t="s">
        <v>1842</v>
      </c>
      <c r="AM138" t="s">
        <v>1843</v>
      </c>
      <c r="AN138" t="s">
        <v>1844</v>
      </c>
      <c r="AO138" t="s">
        <v>1951</v>
      </c>
      <c r="AP138" t="s">
        <v>74</v>
      </c>
      <c r="AQ138" t="s">
        <v>74</v>
      </c>
      <c r="AR138" t="s">
        <v>1952</v>
      </c>
      <c r="AS138" t="s">
        <v>1953</v>
      </c>
      <c r="AT138" t="s">
        <v>74</v>
      </c>
      <c r="AU138">
        <v>2001</v>
      </c>
      <c r="AV138">
        <v>14</v>
      </c>
      <c r="AW138">
        <v>6</v>
      </c>
      <c r="AX138" t="s">
        <v>74</v>
      </c>
      <c r="AY138" t="s">
        <v>74</v>
      </c>
      <c r="AZ138" t="s">
        <v>74</v>
      </c>
      <c r="BA138" t="s">
        <v>74</v>
      </c>
      <c r="BB138">
        <v>1332</v>
      </c>
      <c r="BC138">
        <v>1334</v>
      </c>
      <c r="BD138" t="s">
        <v>74</v>
      </c>
      <c r="BE138" t="s">
        <v>2020</v>
      </c>
      <c r="BF138" t="str">
        <f>HYPERLINK("http://dx.doi.org/10.1175/1520-0442(2001)014&lt;1332:R&gt;2.0.CO;2","http://dx.doi.org/10.1175/1520-0442(2001)014&lt;1332:R&gt;2.0.CO;2")</f>
        <v>http://dx.doi.org/10.1175/1520-0442(2001)014&lt;1332:R&gt;2.0.CO;2</v>
      </c>
      <c r="BG138" t="s">
        <v>74</v>
      </c>
      <c r="BH138" t="s">
        <v>74</v>
      </c>
      <c r="BI138">
        <v>3</v>
      </c>
      <c r="BJ138" t="s">
        <v>167</v>
      </c>
      <c r="BK138" t="s">
        <v>94</v>
      </c>
      <c r="BL138" t="s">
        <v>167</v>
      </c>
      <c r="BM138" t="s">
        <v>1989</v>
      </c>
      <c r="BN138" t="s">
        <v>74</v>
      </c>
      <c r="BO138" t="s">
        <v>1850</v>
      </c>
      <c r="BP138" t="s">
        <v>74</v>
      </c>
      <c r="BQ138" t="s">
        <v>74</v>
      </c>
      <c r="BR138" t="s">
        <v>97</v>
      </c>
      <c r="BS138" t="s">
        <v>2021</v>
      </c>
      <c r="BT138" t="str">
        <f>HYPERLINK("https%3A%2F%2Fwww.webofscience.com%2Fwos%2Fwoscc%2Ffull-record%2FWOS:000167674000023","View Full Record in Web of Science")</f>
        <v>View Full Record in Web of Science</v>
      </c>
    </row>
    <row r="139" spans="1:72" x14ac:dyDescent="0.15">
      <c r="A139" t="s">
        <v>72</v>
      </c>
      <c r="B139" t="s">
        <v>2022</v>
      </c>
      <c r="C139" t="s">
        <v>74</v>
      </c>
      <c r="D139" t="s">
        <v>74</v>
      </c>
      <c r="E139" t="s">
        <v>74</v>
      </c>
      <c r="F139" t="s">
        <v>2022</v>
      </c>
      <c r="G139" t="s">
        <v>74</v>
      </c>
      <c r="H139" t="s">
        <v>74</v>
      </c>
      <c r="I139" t="s">
        <v>2023</v>
      </c>
      <c r="J139" t="s">
        <v>1947</v>
      </c>
      <c r="K139" t="s">
        <v>74</v>
      </c>
      <c r="L139" t="s">
        <v>74</v>
      </c>
      <c r="M139" t="s">
        <v>77</v>
      </c>
      <c r="N139" t="s">
        <v>78</v>
      </c>
      <c r="O139" t="s">
        <v>74</v>
      </c>
      <c r="P139" t="s">
        <v>74</v>
      </c>
      <c r="Q139" t="s">
        <v>74</v>
      </c>
      <c r="R139" t="s">
        <v>74</v>
      </c>
      <c r="S139" t="s">
        <v>74</v>
      </c>
      <c r="T139" t="s">
        <v>74</v>
      </c>
      <c r="U139" t="s">
        <v>2024</v>
      </c>
      <c r="V139" t="s">
        <v>2025</v>
      </c>
      <c r="W139" t="s">
        <v>2026</v>
      </c>
      <c r="X139" t="s">
        <v>2027</v>
      </c>
      <c r="Y139" t="s">
        <v>2028</v>
      </c>
      <c r="Z139" t="s">
        <v>74</v>
      </c>
      <c r="AA139" t="s">
        <v>2029</v>
      </c>
      <c r="AB139" t="s">
        <v>2030</v>
      </c>
      <c r="AC139" t="s">
        <v>74</v>
      </c>
      <c r="AD139" t="s">
        <v>74</v>
      </c>
      <c r="AE139" t="s">
        <v>74</v>
      </c>
      <c r="AF139" t="s">
        <v>74</v>
      </c>
      <c r="AG139">
        <v>60</v>
      </c>
      <c r="AH139">
        <v>57</v>
      </c>
      <c r="AI139">
        <v>61</v>
      </c>
      <c r="AJ139">
        <v>0</v>
      </c>
      <c r="AK139">
        <v>7</v>
      </c>
      <c r="AL139" t="s">
        <v>1842</v>
      </c>
      <c r="AM139" t="s">
        <v>1843</v>
      </c>
      <c r="AN139" t="s">
        <v>1844</v>
      </c>
      <c r="AO139" t="s">
        <v>1951</v>
      </c>
      <c r="AP139" t="s">
        <v>74</v>
      </c>
      <c r="AQ139" t="s">
        <v>74</v>
      </c>
      <c r="AR139" t="s">
        <v>1952</v>
      </c>
      <c r="AS139" t="s">
        <v>1953</v>
      </c>
      <c r="AT139" t="s">
        <v>74</v>
      </c>
      <c r="AU139">
        <v>2001</v>
      </c>
      <c r="AV139">
        <v>14</v>
      </c>
      <c r="AW139">
        <v>7</v>
      </c>
      <c r="AX139" t="s">
        <v>74</v>
      </c>
      <c r="AY139" t="s">
        <v>74</v>
      </c>
      <c r="AZ139" t="s">
        <v>74</v>
      </c>
      <c r="BA139" t="s">
        <v>74</v>
      </c>
      <c r="BB139">
        <v>1613</v>
      </c>
      <c r="BC139">
        <v>1633</v>
      </c>
      <c r="BD139" t="s">
        <v>74</v>
      </c>
      <c r="BE139" t="s">
        <v>2031</v>
      </c>
      <c r="BF139" t="str">
        <f>HYPERLINK("http://dx.doi.org/10.1175/1520-0442(2001)014&lt;1613:FAHCIT&gt;2.0.CO;2","http://dx.doi.org/10.1175/1520-0442(2001)014&lt;1613:FAHCIT&gt;2.0.CO;2")</f>
        <v>http://dx.doi.org/10.1175/1520-0442(2001)014&lt;1613:FAHCIT&gt;2.0.CO;2</v>
      </c>
      <c r="BG139" t="s">
        <v>74</v>
      </c>
      <c r="BH139" t="s">
        <v>74</v>
      </c>
      <c r="BI139">
        <v>21</v>
      </c>
      <c r="BJ139" t="s">
        <v>167</v>
      </c>
      <c r="BK139" t="s">
        <v>94</v>
      </c>
      <c r="BL139" t="s">
        <v>167</v>
      </c>
      <c r="BM139" t="s">
        <v>2032</v>
      </c>
      <c r="BN139" t="s">
        <v>74</v>
      </c>
      <c r="BO139" t="s">
        <v>74</v>
      </c>
      <c r="BP139" t="s">
        <v>74</v>
      </c>
      <c r="BQ139" t="s">
        <v>74</v>
      </c>
      <c r="BR139" t="s">
        <v>97</v>
      </c>
      <c r="BS139" t="s">
        <v>2033</v>
      </c>
      <c r="BT139" t="str">
        <f>HYPERLINK("https%3A%2F%2Fwww.webofscience.com%2Fwos%2Fwoscc%2Ffull-record%2FWOS:000167872600018","View Full Record in Web of Science")</f>
        <v>View Full Record in Web of Science</v>
      </c>
    </row>
    <row r="140" spans="1:72" x14ac:dyDescent="0.15">
      <c r="A140" t="s">
        <v>72</v>
      </c>
      <c r="B140" t="s">
        <v>2034</v>
      </c>
      <c r="C140" t="s">
        <v>74</v>
      </c>
      <c r="D140" t="s">
        <v>74</v>
      </c>
      <c r="E140" t="s">
        <v>74</v>
      </c>
      <c r="F140" t="s">
        <v>2034</v>
      </c>
      <c r="G140" t="s">
        <v>74</v>
      </c>
      <c r="H140" t="s">
        <v>74</v>
      </c>
      <c r="I140" t="s">
        <v>2035</v>
      </c>
      <c r="J140" t="s">
        <v>1947</v>
      </c>
      <c r="K140" t="s">
        <v>74</v>
      </c>
      <c r="L140" t="s">
        <v>74</v>
      </c>
      <c r="M140" t="s">
        <v>77</v>
      </c>
      <c r="N140" t="s">
        <v>78</v>
      </c>
      <c r="O140" t="s">
        <v>74</v>
      </c>
      <c r="P140" t="s">
        <v>74</v>
      </c>
      <c r="Q140" t="s">
        <v>74</v>
      </c>
      <c r="R140" t="s">
        <v>74</v>
      </c>
      <c r="S140" t="s">
        <v>74</v>
      </c>
      <c r="T140" t="s">
        <v>74</v>
      </c>
      <c r="U140" t="s">
        <v>2036</v>
      </c>
      <c r="V140" t="s">
        <v>2037</v>
      </c>
      <c r="W140" t="s">
        <v>2038</v>
      </c>
      <c r="X140" t="s">
        <v>2039</v>
      </c>
      <c r="Y140" t="s">
        <v>2040</v>
      </c>
      <c r="Z140" t="s">
        <v>74</v>
      </c>
      <c r="AA140" t="s">
        <v>74</v>
      </c>
      <c r="AB140" t="s">
        <v>74</v>
      </c>
      <c r="AC140" t="s">
        <v>74</v>
      </c>
      <c r="AD140" t="s">
        <v>74</v>
      </c>
      <c r="AE140" t="s">
        <v>74</v>
      </c>
      <c r="AF140" t="s">
        <v>74</v>
      </c>
      <c r="AG140">
        <v>34</v>
      </c>
      <c r="AH140">
        <v>29</v>
      </c>
      <c r="AI140">
        <v>33</v>
      </c>
      <c r="AJ140">
        <v>0</v>
      </c>
      <c r="AK140">
        <v>0</v>
      </c>
      <c r="AL140" t="s">
        <v>1842</v>
      </c>
      <c r="AM140" t="s">
        <v>1843</v>
      </c>
      <c r="AN140" t="s">
        <v>1844</v>
      </c>
      <c r="AO140" t="s">
        <v>1951</v>
      </c>
      <c r="AP140" t="s">
        <v>74</v>
      </c>
      <c r="AQ140" t="s">
        <v>74</v>
      </c>
      <c r="AR140" t="s">
        <v>1952</v>
      </c>
      <c r="AS140" t="s">
        <v>1953</v>
      </c>
      <c r="AT140" t="s">
        <v>74</v>
      </c>
      <c r="AU140">
        <v>2001</v>
      </c>
      <c r="AV140">
        <v>14</v>
      </c>
      <c r="AW140">
        <v>9</v>
      </c>
      <c r="AX140" t="s">
        <v>74</v>
      </c>
      <c r="AY140" t="s">
        <v>74</v>
      </c>
      <c r="AZ140" t="s">
        <v>74</v>
      </c>
      <c r="BA140" t="s">
        <v>74</v>
      </c>
      <c r="BB140">
        <v>1977</v>
      </c>
      <c r="BC140">
        <v>1988</v>
      </c>
      <c r="BD140" t="s">
        <v>74</v>
      </c>
      <c r="BE140" t="s">
        <v>2041</v>
      </c>
      <c r="BF140" t="str">
        <f>HYPERLINK("http://dx.doi.org/10.1175/1520-0442(2001)014&lt;1977:DLCIWA&gt;2.0.CO;2","http://dx.doi.org/10.1175/1520-0442(2001)014&lt;1977:DLCIWA&gt;2.0.CO;2")</f>
        <v>http://dx.doi.org/10.1175/1520-0442(2001)014&lt;1977:DLCIWA&gt;2.0.CO;2</v>
      </c>
      <c r="BG140" t="s">
        <v>74</v>
      </c>
      <c r="BH140" t="s">
        <v>74</v>
      </c>
      <c r="BI140">
        <v>12</v>
      </c>
      <c r="BJ140" t="s">
        <v>167</v>
      </c>
      <c r="BK140" t="s">
        <v>94</v>
      </c>
      <c r="BL140" t="s">
        <v>167</v>
      </c>
      <c r="BM140" t="s">
        <v>2042</v>
      </c>
      <c r="BN140" t="s">
        <v>74</v>
      </c>
      <c r="BO140" t="s">
        <v>2043</v>
      </c>
      <c r="BP140" t="s">
        <v>74</v>
      </c>
      <c r="BQ140" t="s">
        <v>74</v>
      </c>
      <c r="BR140" t="s">
        <v>97</v>
      </c>
      <c r="BS140" t="s">
        <v>2044</v>
      </c>
      <c r="BT140" t="str">
        <f>HYPERLINK("https%3A%2F%2Fwww.webofscience.com%2Fwos%2Fwoscc%2Ffull-record%2FWOS:000168253300005","View Full Record in Web of Science")</f>
        <v>View Full Record in Web of Science</v>
      </c>
    </row>
    <row r="141" spans="1:72" x14ac:dyDescent="0.15">
      <c r="A141" t="s">
        <v>72</v>
      </c>
      <c r="B141" t="s">
        <v>2045</v>
      </c>
      <c r="C141" t="s">
        <v>74</v>
      </c>
      <c r="D141" t="s">
        <v>74</v>
      </c>
      <c r="E141" t="s">
        <v>74</v>
      </c>
      <c r="F141" t="s">
        <v>2045</v>
      </c>
      <c r="G141" t="s">
        <v>74</v>
      </c>
      <c r="H141" t="s">
        <v>74</v>
      </c>
      <c r="I141" t="s">
        <v>2046</v>
      </c>
      <c r="J141" t="s">
        <v>1947</v>
      </c>
      <c r="K141" t="s">
        <v>74</v>
      </c>
      <c r="L141" t="s">
        <v>74</v>
      </c>
      <c r="M141" t="s">
        <v>77</v>
      </c>
      <c r="N141" t="s">
        <v>78</v>
      </c>
      <c r="O141" t="s">
        <v>74</v>
      </c>
      <c r="P141" t="s">
        <v>74</v>
      </c>
      <c r="Q141" t="s">
        <v>74</v>
      </c>
      <c r="R141" t="s">
        <v>74</v>
      </c>
      <c r="S141" t="s">
        <v>74</v>
      </c>
      <c r="T141" t="s">
        <v>74</v>
      </c>
      <c r="U141" t="s">
        <v>2047</v>
      </c>
      <c r="V141" t="s">
        <v>2048</v>
      </c>
      <c r="W141" t="s">
        <v>2049</v>
      </c>
      <c r="X141" t="s">
        <v>2050</v>
      </c>
      <c r="Y141" t="s">
        <v>2051</v>
      </c>
      <c r="Z141" t="s">
        <v>2052</v>
      </c>
      <c r="AA141" t="s">
        <v>2053</v>
      </c>
      <c r="AB141" t="s">
        <v>2054</v>
      </c>
      <c r="AC141" t="s">
        <v>74</v>
      </c>
      <c r="AD141" t="s">
        <v>74</v>
      </c>
      <c r="AE141" t="s">
        <v>74</v>
      </c>
      <c r="AF141" t="s">
        <v>74</v>
      </c>
      <c r="AG141">
        <v>26</v>
      </c>
      <c r="AH141">
        <v>368</v>
      </c>
      <c r="AI141">
        <v>416</v>
      </c>
      <c r="AJ141">
        <v>4</v>
      </c>
      <c r="AK141">
        <v>56</v>
      </c>
      <c r="AL141" t="s">
        <v>1842</v>
      </c>
      <c r="AM141" t="s">
        <v>1843</v>
      </c>
      <c r="AN141" t="s">
        <v>1844</v>
      </c>
      <c r="AO141" t="s">
        <v>1951</v>
      </c>
      <c r="AP141" t="s">
        <v>1978</v>
      </c>
      <c r="AQ141" t="s">
        <v>74</v>
      </c>
      <c r="AR141" t="s">
        <v>1952</v>
      </c>
      <c r="AS141" t="s">
        <v>1953</v>
      </c>
      <c r="AT141" t="s">
        <v>74</v>
      </c>
      <c r="AU141">
        <v>2001</v>
      </c>
      <c r="AV141">
        <v>14</v>
      </c>
      <c r="AW141">
        <v>10</v>
      </c>
      <c r="AX141" t="s">
        <v>74</v>
      </c>
      <c r="AY141" t="s">
        <v>74</v>
      </c>
      <c r="AZ141" t="s">
        <v>74</v>
      </c>
      <c r="BA141" t="s">
        <v>74</v>
      </c>
      <c r="BB141">
        <v>2238</v>
      </c>
      <c r="BC141">
        <v>2249</v>
      </c>
      <c r="BD141" t="s">
        <v>74</v>
      </c>
      <c r="BE141" t="s">
        <v>2055</v>
      </c>
      <c r="BF141" t="str">
        <f>HYPERLINK("http://dx.doi.org/10.1175/1520-0442(2001)014&lt;0001:SHACRT&gt;2.0.CO;2","http://dx.doi.org/10.1175/1520-0442(2001)014&lt;0001:SHACRT&gt;2.0.CO;2")</f>
        <v>http://dx.doi.org/10.1175/1520-0442(2001)014&lt;0001:SHACRT&gt;2.0.CO;2</v>
      </c>
      <c r="BG141" t="s">
        <v>74</v>
      </c>
      <c r="BH141" t="s">
        <v>74</v>
      </c>
      <c r="BI141">
        <v>12</v>
      </c>
      <c r="BJ141" t="s">
        <v>167</v>
      </c>
      <c r="BK141" t="s">
        <v>94</v>
      </c>
      <c r="BL141" t="s">
        <v>167</v>
      </c>
      <c r="BM141" t="s">
        <v>2056</v>
      </c>
      <c r="BN141" t="s">
        <v>74</v>
      </c>
      <c r="BO141" t="s">
        <v>1755</v>
      </c>
      <c r="BP141" t="s">
        <v>74</v>
      </c>
      <c r="BQ141" t="s">
        <v>74</v>
      </c>
      <c r="BR141" t="s">
        <v>97</v>
      </c>
      <c r="BS141" t="s">
        <v>2057</v>
      </c>
      <c r="BT141" t="str">
        <f>HYPERLINK("https%3A%2F%2Fwww.webofscience.com%2Fwos%2Fwoscc%2Ffull-record%2FWOS:000168724900004","View Full Record in Web of Science")</f>
        <v>View Full Record in Web of Science</v>
      </c>
    </row>
    <row r="142" spans="1:72" x14ac:dyDescent="0.15">
      <c r="A142" t="s">
        <v>72</v>
      </c>
      <c r="B142" t="s">
        <v>2058</v>
      </c>
      <c r="C142" t="s">
        <v>74</v>
      </c>
      <c r="D142" t="s">
        <v>74</v>
      </c>
      <c r="E142" t="s">
        <v>74</v>
      </c>
      <c r="F142" t="s">
        <v>2058</v>
      </c>
      <c r="G142" t="s">
        <v>74</v>
      </c>
      <c r="H142" t="s">
        <v>74</v>
      </c>
      <c r="I142" t="s">
        <v>2059</v>
      </c>
      <c r="J142" t="s">
        <v>1947</v>
      </c>
      <c r="K142" t="s">
        <v>74</v>
      </c>
      <c r="L142" t="s">
        <v>74</v>
      </c>
      <c r="M142" t="s">
        <v>77</v>
      </c>
      <c r="N142" t="s">
        <v>78</v>
      </c>
      <c r="O142" t="s">
        <v>74</v>
      </c>
      <c r="P142" t="s">
        <v>74</v>
      </c>
      <c r="Q142" t="s">
        <v>74</v>
      </c>
      <c r="R142" t="s">
        <v>74</v>
      </c>
      <c r="S142" t="s">
        <v>74</v>
      </c>
      <c r="T142" t="s">
        <v>74</v>
      </c>
      <c r="U142" t="s">
        <v>2060</v>
      </c>
      <c r="V142" t="s">
        <v>2061</v>
      </c>
      <c r="W142" t="s">
        <v>2062</v>
      </c>
      <c r="X142" t="s">
        <v>2063</v>
      </c>
      <c r="Y142" t="s">
        <v>2064</v>
      </c>
      <c r="Z142" t="s">
        <v>2065</v>
      </c>
      <c r="AA142" t="s">
        <v>2066</v>
      </c>
      <c r="AB142" t="s">
        <v>1977</v>
      </c>
      <c r="AC142" t="s">
        <v>74</v>
      </c>
      <c r="AD142" t="s">
        <v>74</v>
      </c>
      <c r="AE142" t="s">
        <v>74</v>
      </c>
      <c r="AF142" t="s">
        <v>74</v>
      </c>
      <c r="AG142">
        <v>26</v>
      </c>
      <c r="AH142">
        <v>48</v>
      </c>
      <c r="AI142">
        <v>51</v>
      </c>
      <c r="AJ142">
        <v>1</v>
      </c>
      <c r="AK142">
        <v>7</v>
      </c>
      <c r="AL142" t="s">
        <v>1842</v>
      </c>
      <c r="AM142" t="s">
        <v>1843</v>
      </c>
      <c r="AN142" t="s">
        <v>2011</v>
      </c>
      <c r="AO142" t="s">
        <v>1951</v>
      </c>
      <c r="AP142" t="s">
        <v>1978</v>
      </c>
      <c r="AQ142" t="s">
        <v>74</v>
      </c>
      <c r="AR142" t="s">
        <v>1952</v>
      </c>
      <c r="AS142" t="s">
        <v>1953</v>
      </c>
      <c r="AT142" t="s">
        <v>74</v>
      </c>
      <c r="AU142">
        <v>2001</v>
      </c>
      <c r="AV142">
        <v>14</v>
      </c>
      <c r="AW142">
        <v>17</v>
      </c>
      <c r="AX142" t="s">
        <v>74</v>
      </c>
      <c r="AY142" t="s">
        <v>74</v>
      </c>
      <c r="AZ142" t="s">
        <v>74</v>
      </c>
      <c r="BA142" t="s">
        <v>74</v>
      </c>
      <c r="BB142">
        <v>3551</v>
      </c>
      <c r="BC142">
        <v>3565</v>
      </c>
      <c r="BD142" t="s">
        <v>74</v>
      </c>
      <c r="BE142" t="s">
        <v>2067</v>
      </c>
      <c r="BF142" t="str">
        <f>HYPERLINK("http://dx.doi.org/10.1175/1520-0442(2001)014&lt;3551:POCCOM&gt;2.0.CO;2","http://dx.doi.org/10.1175/1520-0442(2001)014&lt;3551:POCCOM&gt;2.0.CO;2")</f>
        <v>http://dx.doi.org/10.1175/1520-0442(2001)014&lt;3551:POCCOM&gt;2.0.CO;2</v>
      </c>
      <c r="BG142" t="s">
        <v>74</v>
      </c>
      <c r="BH142" t="s">
        <v>74</v>
      </c>
      <c r="BI142">
        <v>15</v>
      </c>
      <c r="BJ142" t="s">
        <v>167</v>
      </c>
      <c r="BK142" t="s">
        <v>94</v>
      </c>
      <c r="BL142" t="s">
        <v>167</v>
      </c>
      <c r="BM142" t="s">
        <v>2068</v>
      </c>
      <c r="BN142" t="s">
        <v>74</v>
      </c>
      <c r="BO142" t="s">
        <v>1755</v>
      </c>
      <c r="BP142" t="s">
        <v>74</v>
      </c>
      <c r="BQ142" t="s">
        <v>74</v>
      </c>
      <c r="BR142" t="s">
        <v>97</v>
      </c>
      <c r="BS142" t="s">
        <v>2069</v>
      </c>
      <c r="BT142" t="str">
        <f>HYPERLINK("https%3A%2F%2Fwww.webofscience.com%2Fwos%2Fwoscc%2Ffull-record%2FWOS:000171134200003","View Full Record in Web of Science")</f>
        <v>View Full Record in Web of Science</v>
      </c>
    </row>
    <row r="143" spans="1:72" x14ac:dyDescent="0.15">
      <c r="A143" t="s">
        <v>72</v>
      </c>
      <c r="B143" t="s">
        <v>2070</v>
      </c>
      <c r="C143" t="s">
        <v>74</v>
      </c>
      <c r="D143" t="s">
        <v>74</v>
      </c>
      <c r="E143" t="s">
        <v>74</v>
      </c>
      <c r="F143" t="s">
        <v>2070</v>
      </c>
      <c r="G143" t="s">
        <v>74</v>
      </c>
      <c r="H143" t="s">
        <v>74</v>
      </c>
      <c r="I143" t="s">
        <v>2071</v>
      </c>
      <c r="J143" t="s">
        <v>1947</v>
      </c>
      <c r="K143" t="s">
        <v>74</v>
      </c>
      <c r="L143" t="s">
        <v>74</v>
      </c>
      <c r="M143" t="s">
        <v>77</v>
      </c>
      <c r="N143" t="s">
        <v>78</v>
      </c>
      <c r="O143" t="s">
        <v>74</v>
      </c>
      <c r="P143" t="s">
        <v>74</v>
      </c>
      <c r="Q143" t="s">
        <v>74</v>
      </c>
      <c r="R143" t="s">
        <v>74</v>
      </c>
      <c r="S143" t="s">
        <v>74</v>
      </c>
      <c r="T143" t="s">
        <v>74</v>
      </c>
      <c r="U143" t="s">
        <v>2072</v>
      </c>
      <c r="V143" t="s">
        <v>2073</v>
      </c>
      <c r="W143" t="s">
        <v>2074</v>
      </c>
      <c r="X143" t="s">
        <v>2075</v>
      </c>
      <c r="Y143" t="s">
        <v>2076</v>
      </c>
      <c r="Z143" t="s">
        <v>74</v>
      </c>
      <c r="AA143" t="s">
        <v>2077</v>
      </c>
      <c r="AB143" t="s">
        <v>74</v>
      </c>
      <c r="AC143" t="s">
        <v>74</v>
      </c>
      <c r="AD143" t="s">
        <v>74</v>
      </c>
      <c r="AE143" t="s">
        <v>74</v>
      </c>
      <c r="AF143" t="s">
        <v>74</v>
      </c>
      <c r="AG143">
        <v>22</v>
      </c>
      <c r="AH143">
        <v>34</v>
      </c>
      <c r="AI143">
        <v>38</v>
      </c>
      <c r="AJ143">
        <v>0</v>
      </c>
      <c r="AK143">
        <v>6</v>
      </c>
      <c r="AL143" t="s">
        <v>1842</v>
      </c>
      <c r="AM143" t="s">
        <v>1843</v>
      </c>
      <c r="AN143" t="s">
        <v>1844</v>
      </c>
      <c r="AO143" t="s">
        <v>1951</v>
      </c>
      <c r="AP143" t="s">
        <v>74</v>
      </c>
      <c r="AQ143" t="s">
        <v>74</v>
      </c>
      <c r="AR143" t="s">
        <v>1952</v>
      </c>
      <c r="AS143" t="s">
        <v>1953</v>
      </c>
      <c r="AT143" t="s">
        <v>74</v>
      </c>
      <c r="AU143">
        <v>2001</v>
      </c>
      <c r="AV143">
        <v>14</v>
      </c>
      <c r="AW143">
        <v>17</v>
      </c>
      <c r="AX143" t="s">
        <v>74</v>
      </c>
      <c r="AY143" t="s">
        <v>74</v>
      </c>
      <c r="AZ143" t="s">
        <v>74</v>
      </c>
      <c r="BA143" t="s">
        <v>74</v>
      </c>
      <c r="BB143">
        <v>3655</v>
      </c>
      <c r="BC143">
        <v>3665</v>
      </c>
      <c r="BD143" t="s">
        <v>74</v>
      </c>
      <c r="BE143" t="s">
        <v>2078</v>
      </c>
      <c r="BF143" t="str">
        <f>HYPERLINK("http://dx.doi.org/10.1175/1520-0442(2001)014&lt;3655:TSOTAM&gt;2.0.CO;2","http://dx.doi.org/10.1175/1520-0442(2001)014&lt;3655:TSOTAM&gt;2.0.CO;2")</f>
        <v>http://dx.doi.org/10.1175/1520-0442(2001)014&lt;3655:TSOTAM&gt;2.0.CO;2</v>
      </c>
      <c r="BG143" t="s">
        <v>74</v>
      </c>
      <c r="BH143" t="s">
        <v>74</v>
      </c>
      <c r="BI143">
        <v>11</v>
      </c>
      <c r="BJ143" t="s">
        <v>167</v>
      </c>
      <c r="BK143" t="s">
        <v>94</v>
      </c>
      <c r="BL143" t="s">
        <v>167</v>
      </c>
      <c r="BM143" t="s">
        <v>2068</v>
      </c>
      <c r="BN143" t="s">
        <v>74</v>
      </c>
      <c r="BO143" t="s">
        <v>1850</v>
      </c>
      <c r="BP143" t="s">
        <v>74</v>
      </c>
      <c r="BQ143" t="s">
        <v>74</v>
      </c>
      <c r="BR143" t="s">
        <v>97</v>
      </c>
      <c r="BS143" t="s">
        <v>2079</v>
      </c>
      <c r="BT143" t="str">
        <f>HYPERLINK("https%3A%2F%2Fwww.webofscience.com%2Fwos%2Fwoscc%2Ffull-record%2FWOS:000171134200010","View Full Record in Web of Science")</f>
        <v>View Full Record in Web of Science</v>
      </c>
    </row>
    <row r="144" spans="1:72" x14ac:dyDescent="0.15">
      <c r="A144" t="s">
        <v>72</v>
      </c>
      <c r="B144" t="s">
        <v>2080</v>
      </c>
      <c r="C144" t="s">
        <v>74</v>
      </c>
      <c r="D144" t="s">
        <v>74</v>
      </c>
      <c r="E144" t="s">
        <v>74</v>
      </c>
      <c r="F144" t="s">
        <v>2080</v>
      </c>
      <c r="G144" t="s">
        <v>74</v>
      </c>
      <c r="H144" t="s">
        <v>74</v>
      </c>
      <c r="I144" t="s">
        <v>2081</v>
      </c>
      <c r="J144" t="s">
        <v>1947</v>
      </c>
      <c r="K144" t="s">
        <v>74</v>
      </c>
      <c r="L144" t="s">
        <v>74</v>
      </c>
      <c r="M144" t="s">
        <v>77</v>
      </c>
      <c r="N144" t="s">
        <v>78</v>
      </c>
      <c r="O144" t="s">
        <v>74</v>
      </c>
      <c r="P144" t="s">
        <v>74</v>
      </c>
      <c r="Q144" t="s">
        <v>74</v>
      </c>
      <c r="R144" t="s">
        <v>74</v>
      </c>
      <c r="S144" t="s">
        <v>74</v>
      </c>
      <c r="T144" t="s">
        <v>74</v>
      </c>
      <c r="U144" t="s">
        <v>2082</v>
      </c>
      <c r="V144" t="s">
        <v>2083</v>
      </c>
      <c r="W144" t="s">
        <v>1249</v>
      </c>
      <c r="X144" t="s">
        <v>1250</v>
      </c>
      <c r="Y144" t="s">
        <v>2084</v>
      </c>
      <c r="Z144" t="s">
        <v>74</v>
      </c>
      <c r="AA144" t="s">
        <v>74</v>
      </c>
      <c r="AB144" t="s">
        <v>74</v>
      </c>
      <c r="AC144" t="s">
        <v>74</v>
      </c>
      <c r="AD144" t="s">
        <v>74</v>
      </c>
      <c r="AE144" t="s">
        <v>74</v>
      </c>
      <c r="AF144" t="s">
        <v>74</v>
      </c>
      <c r="AG144">
        <v>20</v>
      </c>
      <c r="AH144">
        <v>22</v>
      </c>
      <c r="AI144">
        <v>22</v>
      </c>
      <c r="AJ144">
        <v>0</v>
      </c>
      <c r="AK144">
        <v>2</v>
      </c>
      <c r="AL144" t="s">
        <v>1842</v>
      </c>
      <c r="AM144" t="s">
        <v>1843</v>
      </c>
      <c r="AN144" t="s">
        <v>1844</v>
      </c>
      <c r="AO144" t="s">
        <v>1951</v>
      </c>
      <c r="AP144" t="s">
        <v>74</v>
      </c>
      <c r="AQ144" t="s">
        <v>74</v>
      </c>
      <c r="AR144" t="s">
        <v>1952</v>
      </c>
      <c r="AS144" t="s">
        <v>1953</v>
      </c>
      <c r="AT144" t="s">
        <v>74</v>
      </c>
      <c r="AU144">
        <v>2001</v>
      </c>
      <c r="AV144">
        <v>14</v>
      </c>
      <c r="AW144">
        <v>17</v>
      </c>
      <c r="AX144" t="s">
        <v>74</v>
      </c>
      <c r="AY144" t="s">
        <v>74</v>
      </c>
      <c r="AZ144" t="s">
        <v>74</v>
      </c>
      <c r="BA144" t="s">
        <v>74</v>
      </c>
      <c r="BB144">
        <v>3785</v>
      </c>
      <c r="BC144">
        <v>3792</v>
      </c>
      <c r="BD144" t="s">
        <v>74</v>
      </c>
      <c r="BE144" t="s">
        <v>2085</v>
      </c>
      <c r="BF144" t="str">
        <f>HYPERLINK("http://dx.doi.org/10.1175/1520-0442(2001)014&lt;3785:CIOTWS&gt;2.0.CO;2","http://dx.doi.org/10.1175/1520-0442(2001)014&lt;3785:CIOTWS&gt;2.0.CO;2")</f>
        <v>http://dx.doi.org/10.1175/1520-0442(2001)014&lt;3785:CIOTWS&gt;2.0.CO;2</v>
      </c>
      <c r="BG144" t="s">
        <v>74</v>
      </c>
      <c r="BH144" t="s">
        <v>74</v>
      </c>
      <c r="BI144">
        <v>8</v>
      </c>
      <c r="BJ144" t="s">
        <v>167</v>
      </c>
      <c r="BK144" t="s">
        <v>94</v>
      </c>
      <c r="BL144" t="s">
        <v>167</v>
      </c>
      <c r="BM144" t="s">
        <v>2068</v>
      </c>
      <c r="BN144" t="s">
        <v>74</v>
      </c>
      <c r="BO144" t="s">
        <v>1068</v>
      </c>
      <c r="BP144" t="s">
        <v>74</v>
      </c>
      <c r="BQ144" t="s">
        <v>74</v>
      </c>
      <c r="BR144" t="s">
        <v>97</v>
      </c>
      <c r="BS144" t="s">
        <v>2086</v>
      </c>
      <c r="BT144" t="str">
        <f>HYPERLINK("https%3A%2F%2Fwww.webofscience.com%2Fwos%2Fwoscc%2Ffull-record%2FWOS:000171134200018","View Full Record in Web of Science")</f>
        <v>View Full Record in Web of Science</v>
      </c>
    </row>
    <row r="145" spans="1:72" x14ac:dyDescent="0.15">
      <c r="A145" t="s">
        <v>72</v>
      </c>
      <c r="B145" t="s">
        <v>2087</v>
      </c>
      <c r="C145" t="s">
        <v>74</v>
      </c>
      <c r="D145" t="s">
        <v>74</v>
      </c>
      <c r="E145" t="s">
        <v>74</v>
      </c>
      <c r="F145" t="s">
        <v>2087</v>
      </c>
      <c r="G145" t="s">
        <v>74</v>
      </c>
      <c r="H145" t="s">
        <v>74</v>
      </c>
      <c r="I145" t="s">
        <v>2088</v>
      </c>
      <c r="J145" t="s">
        <v>1947</v>
      </c>
      <c r="K145" t="s">
        <v>74</v>
      </c>
      <c r="L145" t="s">
        <v>74</v>
      </c>
      <c r="M145" t="s">
        <v>77</v>
      </c>
      <c r="N145" t="s">
        <v>78</v>
      </c>
      <c r="O145" t="s">
        <v>74</v>
      </c>
      <c r="P145" t="s">
        <v>74</v>
      </c>
      <c r="Q145" t="s">
        <v>74</v>
      </c>
      <c r="R145" t="s">
        <v>74</v>
      </c>
      <c r="S145" t="s">
        <v>74</v>
      </c>
      <c r="T145" t="s">
        <v>74</v>
      </c>
      <c r="U145" t="s">
        <v>2089</v>
      </c>
      <c r="V145" t="s">
        <v>2090</v>
      </c>
      <c r="W145" t="s">
        <v>2091</v>
      </c>
      <c r="X145" t="s">
        <v>2092</v>
      </c>
      <c r="Y145" t="s">
        <v>2093</v>
      </c>
      <c r="Z145" t="s">
        <v>2094</v>
      </c>
      <c r="AA145" t="s">
        <v>74</v>
      </c>
      <c r="AB145" t="s">
        <v>74</v>
      </c>
      <c r="AC145" t="s">
        <v>74</v>
      </c>
      <c r="AD145" t="s">
        <v>74</v>
      </c>
      <c r="AE145" t="s">
        <v>74</v>
      </c>
      <c r="AF145" t="s">
        <v>74</v>
      </c>
      <c r="AG145">
        <v>33</v>
      </c>
      <c r="AH145">
        <v>93</v>
      </c>
      <c r="AI145">
        <v>104</v>
      </c>
      <c r="AJ145">
        <v>0</v>
      </c>
      <c r="AK145">
        <v>11</v>
      </c>
      <c r="AL145" t="s">
        <v>1842</v>
      </c>
      <c r="AM145" t="s">
        <v>1843</v>
      </c>
      <c r="AN145" t="s">
        <v>1844</v>
      </c>
      <c r="AO145" t="s">
        <v>1951</v>
      </c>
      <c r="AP145" t="s">
        <v>1978</v>
      </c>
      <c r="AQ145" t="s">
        <v>74</v>
      </c>
      <c r="AR145" t="s">
        <v>1952</v>
      </c>
      <c r="AS145" t="s">
        <v>1953</v>
      </c>
      <c r="AT145" t="s">
        <v>74</v>
      </c>
      <c r="AU145">
        <v>2001</v>
      </c>
      <c r="AV145">
        <v>14</v>
      </c>
      <c r="AW145">
        <v>21</v>
      </c>
      <c r="AX145" t="s">
        <v>74</v>
      </c>
      <c r="AY145" t="s">
        <v>74</v>
      </c>
      <c r="AZ145" t="s">
        <v>74</v>
      </c>
      <c r="BA145" t="s">
        <v>74</v>
      </c>
      <c r="BB145">
        <v>4191</v>
      </c>
      <c r="BC145">
        <v>4215</v>
      </c>
      <c r="BD145" t="s">
        <v>74</v>
      </c>
      <c r="BE145" t="s">
        <v>2095</v>
      </c>
      <c r="BF145" t="str">
        <f>HYPERLINK("http://dx.doi.org/10.1175/1520-0442(2001)014&lt;4191:TWSHSJ&gt;2.0.CO;2","http://dx.doi.org/10.1175/1520-0442(2001)014&lt;4191:TWSHSJ&gt;2.0.CO;2")</f>
        <v>http://dx.doi.org/10.1175/1520-0442(2001)014&lt;4191:TWSHSJ&gt;2.0.CO;2</v>
      </c>
      <c r="BG145" t="s">
        <v>74</v>
      </c>
      <c r="BH145" t="s">
        <v>74</v>
      </c>
      <c r="BI145">
        <v>25</v>
      </c>
      <c r="BJ145" t="s">
        <v>167</v>
      </c>
      <c r="BK145" t="s">
        <v>94</v>
      </c>
      <c r="BL145" t="s">
        <v>167</v>
      </c>
      <c r="BM145" t="s">
        <v>2096</v>
      </c>
      <c r="BN145" t="s">
        <v>74</v>
      </c>
      <c r="BO145" t="s">
        <v>2097</v>
      </c>
      <c r="BP145" t="s">
        <v>74</v>
      </c>
      <c r="BQ145" t="s">
        <v>74</v>
      </c>
      <c r="BR145" t="s">
        <v>97</v>
      </c>
      <c r="BS145" t="s">
        <v>2098</v>
      </c>
      <c r="BT145" t="str">
        <f>HYPERLINK("https%3A%2F%2Fwww.webofscience.com%2Fwos%2Fwoscc%2Ffull-record%2FWOS:000171595200005","View Full Record in Web of Science")</f>
        <v>View Full Record in Web of Science</v>
      </c>
    </row>
    <row r="146" spans="1:72" x14ac:dyDescent="0.15">
      <c r="A146" t="s">
        <v>72</v>
      </c>
      <c r="B146" t="s">
        <v>2099</v>
      </c>
      <c r="C146" t="s">
        <v>74</v>
      </c>
      <c r="D146" t="s">
        <v>74</v>
      </c>
      <c r="E146" t="s">
        <v>74</v>
      </c>
      <c r="F146" t="s">
        <v>2099</v>
      </c>
      <c r="G146" t="s">
        <v>74</v>
      </c>
      <c r="H146" t="s">
        <v>74</v>
      </c>
      <c r="I146" t="s">
        <v>2100</v>
      </c>
      <c r="J146" t="s">
        <v>2101</v>
      </c>
      <c r="K146" t="s">
        <v>74</v>
      </c>
      <c r="L146" t="s">
        <v>74</v>
      </c>
      <c r="M146" t="s">
        <v>77</v>
      </c>
      <c r="N146" t="s">
        <v>576</v>
      </c>
      <c r="O146" t="s">
        <v>2102</v>
      </c>
      <c r="P146" t="s">
        <v>2103</v>
      </c>
      <c r="Q146" t="s">
        <v>2104</v>
      </c>
      <c r="R146" t="s">
        <v>74</v>
      </c>
      <c r="S146" t="s">
        <v>74</v>
      </c>
      <c r="T146" t="s">
        <v>74</v>
      </c>
      <c r="U146" t="s">
        <v>2105</v>
      </c>
      <c r="V146" t="s">
        <v>2106</v>
      </c>
      <c r="W146" t="s">
        <v>2107</v>
      </c>
      <c r="X146" t="s">
        <v>2108</v>
      </c>
      <c r="Y146" t="s">
        <v>2109</v>
      </c>
      <c r="Z146" t="s">
        <v>2110</v>
      </c>
      <c r="AA146" t="s">
        <v>74</v>
      </c>
      <c r="AB146" t="s">
        <v>2111</v>
      </c>
      <c r="AC146" t="s">
        <v>74</v>
      </c>
      <c r="AD146" t="s">
        <v>74</v>
      </c>
      <c r="AE146" t="s">
        <v>74</v>
      </c>
      <c r="AF146" t="s">
        <v>74</v>
      </c>
      <c r="AG146">
        <v>45</v>
      </c>
      <c r="AH146">
        <v>71</v>
      </c>
      <c r="AI146">
        <v>80</v>
      </c>
      <c r="AJ146">
        <v>0</v>
      </c>
      <c r="AK146">
        <v>11</v>
      </c>
      <c r="AL146" t="s">
        <v>2112</v>
      </c>
      <c r="AM146" t="s">
        <v>1060</v>
      </c>
      <c r="AN146" t="s">
        <v>2113</v>
      </c>
      <c r="AO146" t="s">
        <v>2114</v>
      </c>
      <c r="AP146" t="s">
        <v>2115</v>
      </c>
      <c r="AQ146" t="s">
        <v>74</v>
      </c>
      <c r="AR146" t="s">
        <v>2116</v>
      </c>
      <c r="AS146" t="s">
        <v>2117</v>
      </c>
      <c r="AT146" t="s">
        <v>91</v>
      </c>
      <c r="AU146">
        <v>2001</v>
      </c>
      <c r="AV146">
        <v>86</v>
      </c>
      <c r="AW146">
        <v>1</v>
      </c>
      <c r="AX146" t="s">
        <v>74</v>
      </c>
      <c r="AY146" t="s">
        <v>74</v>
      </c>
      <c r="AZ146" t="s">
        <v>74</v>
      </c>
      <c r="BA146" t="s">
        <v>74</v>
      </c>
      <c r="BB146">
        <v>110</v>
      </c>
      <c r="BC146">
        <v>116</v>
      </c>
      <c r="BD146" t="s">
        <v>74</v>
      </c>
      <c r="BE146" t="s">
        <v>2118</v>
      </c>
      <c r="BF146" t="str">
        <f>HYPERLINK("http://dx.doi.org/10.1210/jc.86.1.110","http://dx.doi.org/10.1210/jc.86.1.110")</f>
        <v>http://dx.doi.org/10.1210/jc.86.1.110</v>
      </c>
      <c r="BG146" t="s">
        <v>74</v>
      </c>
      <c r="BH146" t="s">
        <v>74</v>
      </c>
      <c r="BI146">
        <v>7</v>
      </c>
      <c r="BJ146" t="s">
        <v>2119</v>
      </c>
      <c r="BK146" t="s">
        <v>2120</v>
      </c>
      <c r="BL146" t="s">
        <v>2119</v>
      </c>
      <c r="BM146" t="s">
        <v>2121</v>
      </c>
      <c r="BN146">
        <v>11231986</v>
      </c>
      <c r="BO146" t="s">
        <v>74</v>
      </c>
      <c r="BP146" t="s">
        <v>74</v>
      </c>
      <c r="BQ146" t="s">
        <v>74</v>
      </c>
      <c r="BR146" t="s">
        <v>97</v>
      </c>
      <c r="BS146" t="s">
        <v>2122</v>
      </c>
      <c r="BT146" t="str">
        <f>HYPERLINK("https%3A%2F%2Fwww.webofscience.com%2Fwos%2Fwoscc%2Ffull-record%2FWOS:000166580100019","View Full Record in Web of Science")</f>
        <v>View Full Record in Web of Science</v>
      </c>
    </row>
    <row r="147" spans="1:72" x14ac:dyDescent="0.15">
      <c r="A147" t="s">
        <v>72</v>
      </c>
      <c r="B147" t="s">
        <v>2123</v>
      </c>
      <c r="C147" t="s">
        <v>74</v>
      </c>
      <c r="D147" t="s">
        <v>74</v>
      </c>
      <c r="E147" t="s">
        <v>74</v>
      </c>
      <c r="F147" t="s">
        <v>2123</v>
      </c>
      <c r="G147" t="s">
        <v>74</v>
      </c>
      <c r="H147" t="s">
        <v>74</v>
      </c>
      <c r="I147" t="s">
        <v>2124</v>
      </c>
      <c r="J147" t="s">
        <v>2125</v>
      </c>
      <c r="K147" t="s">
        <v>74</v>
      </c>
      <c r="L147" t="s">
        <v>74</v>
      </c>
      <c r="M147" t="s">
        <v>77</v>
      </c>
      <c r="N147" t="s">
        <v>78</v>
      </c>
      <c r="O147" t="s">
        <v>74</v>
      </c>
      <c r="P147" t="s">
        <v>74</v>
      </c>
      <c r="Q147" t="s">
        <v>74</v>
      </c>
      <c r="R147" t="s">
        <v>74</v>
      </c>
      <c r="S147" t="s">
        <v>74</v>
      </c>
      <c r="T147" t="s">
        <v>74</v>
      </c>
      <c r="U147" t="s">
        <v>2126</v>
      </c>
      <c r="V147" t="s">
        <v>2127</v>
      </c>
      <c r="W147" t="s">
        <v>2128</v>
      </c>
      <c r="X147" t="s">
        <v>2129</v>
      </c>
      <c r="Y147" t="s">
        <v>2130</v>
      </c>
      <c r="Z147" t="s">
        <v>74</v>
      </c>
      <c r="AA147" t="s">
        <v>74</v>
      </c>
      <c r="AB147" t="s">
        <v>2131</v>
      </c>
      <c r="AC147" t="s">
        <v>74</v>
      </c>
      <c r="AD147" t="s">
        <v>74</v>
      </c>
      <c r="AE147" t="s">
        <v>74</v>
      </c>
      <c r="AF147" t="s">
        <v>74</v>
      </c>
      <c r="AG147">
        <v>25</v>
      </c>
      <c r="AH147">
        <v>43</v>
      </c>
      <c r="AI147">
        <v>43</v>
      </c>
      <c r="AJ147">
        <v>0</v>
      </c>
      <c r="AK147">
        <v>2</v>
      </c>
      <c r="AL147" t="s">
        <v>2132</v>
      </c>
      <c r="AM147" t="s">
        <v>2133</v>
      </c>
      <c r="AN147" t="s">
        <v>2134</v>
      </c>
      <c r="AO147" t="s">
        <v>2135</v>
      </c>
      <c r="AP147" t="s">
        <v>74</v>
      </c>
      <c r="AQ147" t="s">
        <v>74</v>
      </c>
      <c r="AR147" t="s">
        <v>2136</v>
      </c>
      <c r="AS147" t="s">
        <v>2137</v>
      </c>
      <c r="AT147" t="s">
        <v>91</v>
      </c>
      <c r="AU147">
        <v>2001</v>
      </c>
      <c r="AV147">
        <v>109</v>
      </c>
      <c r="AW147">
        <v>1</v>
      </c>
      <c r="AX147" t="s">
        <v>74</v>
      </c>
      <c r="AY147" t="s">
        <v>74</v>
      </c>
      <c r="AZ147" t="s">
        <v>74</v>
      </c>
      <c r="BA147" t="s">
        <v>74</v>
      </c>
      <c r="BB147">
        <v>136</v>
      </c>
      <c r="BC147">
        <v>142</v>
      </c>
      <c r="BD147" t="s">
        <v>74</v>
      </c>
      <c r="BE147" t="s">
        <v>2138</v>
      </c>
      <c r="BF147" t="str">
        <f>HYPERLINK("http://dx.doi.org/10.1086/317964","http://dx.doi.org/10.1086/317964")</f>
        <v>http://dx.doi.org/10.1086/317964</v>
      </c>
      <c r="BG147" t="s">
        <v>74</v>
      </c>
      <c r="BH147" t="s">
        <v>74</v>
      </c>
      <c r="BI147">
        <v>7</v>
      </c>
      <c r="BJ147" t="s">
        <v>597</v>
      </c>
      <c r="BK147" t="s">
        <v>94</v>
      </c>
      <c r="BL147" t="s">
        <v>597</v>
      </c>
      <c r="BM147" t="s">
        <v>2139</v>
      </c>
      <c r="BN147" t="s">
        <v>74</v>
      </c>
      <c r="BO147" t="s">
        <v>74</v>
      </c>
      <c r="BP147" t="s">
        <v>74</v>
      </c>
      <c r="BQ147" t="s">
        <v>74</v>
      </c>
      <c r="BR147" t="s">
        <v>97</v>
      </c>
      <c r="BS147" t="s">
        <v>2140</v>
      </c>
      <c r="BT147" t="str">
        <f>HYPERLINK("https%3A%2F%2Fwww.webofscience.com%2Fwos%2Fwoscc%2Ffull-record%2FWOS:000165989000009","View Full Record in Web of Science")</f>
        <v>View Full Record in Web of Science</v>
      </c>
    </row>
    <row r="148" spans="1:72" x14ac:dyDescent="0.15">
      <c r="A148" t="s">
        <v>72</v>
      </c>
      <c r="B148" t="s">
        <v>2141</v>
      </c>
      <c r="C148" t="s">
        <v>74</v>
      </c>
      <c r="D148" t="s">
        <v>74</v>
      </c>
      <c r="E148" t="s">
        <v>74</v>
      </c>
      <c r="F148" t="s">
        <v>2141</v>
      </c>
      <c r="G148" t="s">
        <v>74</v>
      </c>
      <c r="H148" t="s">
        <v>74</v>
      </c>
      <c r="I148" t="s">
        <v>2142</v>
      </c>
      <c r="J148" t="s">
        <v>2143</v>
      </c>
      <c r="K148" t="s">
        <v>74</v>
      </c>
      <c r="L148" t="s">
        <v>74</v>
      </c>
      <c r="M148" t="s">
        <v>77</v>
      </c>
      <c r="N148" t="s">
        <v>78</v>
      </c>
      <c r="O148" t="s">
        <v>74</v>
      </c>
      <c r="P148" t="s">
        <v>74</v>
      </c>
      <c r="Q148" t="s">
        <v>74</v>
      </c>
      <c r="R148" t="s">
        <v>74</v>
      </c>
      <c r="S148" t="s">
        <v>74</v>
      </c>
      <c r="T148" t="s">
        <v>74</v>
      </c>
      <c r="U148" t="s">
        <v>2144</v>
      </c>
      <c r="V148" t="s">
        <v>2145</v>
      </c>
      <c r="W148" t="s">
        <v>2146</v>
      </c>
      <c r="X148" t="s">
        <v>2147</v>
      </c>
      <c r="Y148" t="s">
        <v>2148</v>
      </c>
      <c r="Z148" t="s">
        <v>2149</v>
      </c>
      <c r="AA148" t="s">
        <v>74</v>
      </c>
      <c r="AB148" t="s">
        <v>74</v>
      </c>
      <c r="AC148" t="s">
        <v>74</v>
      </c>
      <c r="AD148" t="s">
        <v>74</v>
      </c>
      <c r="AE148" t="s">
        <v>74</v>
      </c>
      <c r="AF148" t="s">
        <v>74</v>
      </c>
      <c r="AG148">
        <v>46</v>
      </c>
      <c r="AH148">
        <v>51</v>
      </c>
      <c r="AI148">
        <v>55</v>
      </c>
      <c r="AJ148">
        <v>0</v>
      </c>
      <c r="AK148">
        <v>0</v>
      </c>
      <c r="AL148" t="s">
        <v>1059</v>
      </c>
      <c r="AM148" t="s">
        <v>1060</v>
      </c>
      <c r="AN148" t="s">
        <v>1061</v>
      </c>
      <c r="AO148" t="s">
        <v>2150</v>
      </c>
      <c r="AP148" t="s">
        <v>2151</v>
      </c>
      <c r="AQ148" t="s">
        <v>74</v>
      </c>
      <c r="AR148" t="s">
        <v>2152</v>
      </c>
      <c r="AS148" t="s">
        <v>2153</v>
      </c>
      <c r="AT148" t="s">
        <v>1065</v>
      </c>
      <c r="AU148">
        <v>2001</v>
      </c>
      <c r="AV148">
        <v>106</v>
      </c>
      <c r="AW148" t="s">
        <v>2154</v>
      </c>
      <c r="AX148" t="s">
        <v>74</v>
      </c>
      <c r="AY148" t="s">
        <v>74</v>
      </c>
      <c r="AZ148" t="s">
        <v>74</v>
      </c>
      <c r="BA148" t="s">
        <v>74</v>
      </c>
      <c r="BB148">
        <v>179</v>
      </c>
      <c r="BC148">
        <v>190</v>
      </c>
      <c r="BD148" t="s">
        <v>74</v>
      </c>
      <c r="BE148" t="s">
        <v>2155</v>
      </c>
      <c r="BF148" t="str">
        <f>HYPERLINK("http://dx.doi.org/10.1029/2000JA900058","http://dx.doi.org/10.1029/2000JA900058")</f>
        <v>http://dx.doi.org/10.1029/2000JA900058</v>
      </c>
      <c r="BG148" t="s">
        <v>74</v>
      </c>
      <c r="BH148" t="s">
        <v>74</v>
      </c>
      <c r="BI148">
        <v>12</v>
      </c>
      <c r="BJ148" t="s">
        <v>909</v>
      </c>
      <c r="BK148" t="s">
        <v>94</v>
      </c>
      <c r="BL148" t="s">
        <v>909</v>
      </c>
      <c r="BM148" t="s">
        <v>2156</v>
      </c>
      <c r="BN148" t="s">
        <v>74</v>
      </c>
      <c r="BO148" t="s">
        <v>1755</v>
      </c>
      <c r="BP148" t="s">
        <v>74</v>
      </c>
      <c r="BQ148" t="s">
        <v>74</v>
      </c>
      <c r="BR148" t="s">
        <v>97</v>
      </c>
      <c r="BS148" t="s">
        <v>2157</v>
      </c>
      <c r="BT148" t="str">
        <f>HYPERLINK("https%3A%2F%2Fwww.webofscience.com%2Fwos%2Fwoscc%2Ffull-record%2FWOS:000166379600015","View Full Record in Web of Science")</f>
        <v>View Full Record in Web of Science</v>
      </c>
    </row>
    <row r="149" spans="1:72" x14ac:dyDescent="0.15">
      <c r="A149" t="s">
        <v>72</v>
      </c>
      <c r="B149" t="s">
        <v>2158</v>
      </c>
      <c r="C149" t="s">
        <v>74</v>
      </c>
      <c r="D149" t="s">
        <v>74</v>
      </c>
      <c r="E149" t="s">
        <v>74</v>
      </c>
      <c r="F149" t="s">
        <v>2158</v>
      </c>
      <c r="G149" t="s">
        <v>74</v>
      </c>
      <c r="H149" t="s">
        <v>74</v>
      </c>
      <c r="I149" t="s">
        <v>2159</v>
      </c>
      <c r="J149" t="s">
        <v>2143</v>
      </c>
      <c r="K149" t="s">
        <v>74</v>
      </c>
      <c r="L149" t="s">
        <v>74</v>
      </c>
      <c r="M149" t="s">
        <v>77</v>
      </c>
      <c r="N149" t="s">
        <v>78</v>
      </c>
      <c r="O149" t="s">
        <v>74</v>
      </c>
      <c r="P149" t="s">
        <v>74</v>
      </c>
      <c r="Q149" t="s">
        <v>74</v>
      </c>
      <c r="R149" t="s">
        <v>74</v>
      </c>
      <c r="S149" t="s">
        <v>74</v>
      </c>
      <c r="T149" t="s">
        <v>74</v>
      </c>
      <c r="U149" t="s">
        <v>2160</v>
      </c>
      <c r="V149" t="s">
        <v>2161</v>
      </c>
      <c r="W149" t="s">
        <v>885</v>
      </c>
      <c r="X149" t="s">
        <v>221</v>
      </c>
      <c r="Y149" t="s">
        <v>2162</v>
      </c>
      <c r="Z149" t="s">
        <v>2163</v>
      </c>
      <c r="AA149" t="s">
        <v>74</v>
      </c>
      <c r="AB149" t="s">
        <v>74</v>
      </c>
      <c r="AC149" t="s">
        <v>74</v>
      </c>
      <c r="AD149" t="s">
        <v>74</v>
      </c>
      <c r="AE149" t="s">
        <v>74</v>
      </c>
      <c r="AF149" t="s">
        <v>74</v>
      </c>
      <c r="AG149">
        <v>43</v>
      </c>
      <c r="AH149">
        <v>21</v>
      </c>
      <c r="AI149">
        <v>23</v>
      </c>
      <c r="AJ149">
        <v>0</v>
      </c>
      <c r="AK149">
        <v>0</v>
      </c>
      <c r="AL149" t="s">
        <v>1059</v>
      </c>
      <c r="AM149" t="s">
        <v>1060</v>
      </c>
      <c r="AN149" t="s">
        <v>1061</v>
      </c>
      <c r="AO149" t="s">
        <v>2150</v>
      </c>
      <c r="AP149" t="s">
        <v>2151</v>
      </c>
      <c r="AQ149" t="s">
        <v>74</v>
      </c>
      <c r="AR149" t="s">
        <v>2152</v>
      </c>
      <c r="AS149" t="s">
        <v>2153</v>
      </c>
      <c r="AT149" t="s">
        <v>1065</v>
      </c>
      <c r="AU149">
        <v>2001</v>
      </c>
      <c r="AV149">
        <v>106</v>
      </c>
      <c r="AW149" t="s">
        <v>2154</v>
      </c>
      <c r="AX149" t="s">
        <v>74</v>
      </c>
      <c r="AY149" t="s">
        <v>74</v>
      </c>
      <c r="AZ149" t="s">
        <v>74</v>
      </c>
      <c r="BA149" t="s">
        <v>74</v>
      </c>
      <c r="BB149">
        <v>191</v>
      </c>
      <c r="BC149">
        <v>202</v>
      </c>
      <c r="BD149" t="s">
        <v>74</v>
      </c>
      <c r="BE149" t="s">
        <v>2164</v>
      </c>
      <c r="BF149" t="str">
        <f>HYPERLINK("http://dx.doi.org/10.1029/2000JA900094","http://dx.doi.org/10.1029/2000JA900094")</f>
        <v>http://dx.doi.org/10.1029/2000JA900094</v>
      </c>
      <c r="BG149" t="s">
        <v>74</v>
      </c>
      <c r="BH149" t="s">
        <v>74</v>
      </c>
      <c r="BI149">
        <v>12</v>
      </c>
      <c r="BJ149" t="s">
        <v>909</v>
      </c>
      <c r="BK149" t="s">
        <v>94</v>
      </c>
      <c r="BL149" t="s">
        <v>909</v>
      </c>
      <c r="BM149" t="s">
        <v>2156</v>
      </c>
      <c r="BN149" t="s">
        <v>74</v>
      </c>
      <c r="BO149" t="s">
        <v>1755</v>
      </c>
      <c r="BP149" t="s">
        <v>74</v>
      </c>
      <c r="BQ149" t="s">
        <v>74</v>
      </c>
      <c r="BR149" t="s">
        <v>97</v>
      </c>
      <c r="BS149" t="s">
        <v>2165</v>
      </c>
      <c r="BT149" t="str">
        <f>HYPERLINK("https%3A%2F%2Fwww.webofscience.com%2Fwos%2Fwoscc%2Ffull-record%2FWOS:000166379600016","View Full Record in Web of Science")</f>
        <v>View Full Record in Web of Science</v>
      </c>
    </row>
    <row r="150" spans="1:72" x14ac:dyDescent="0.15">
      <c r="A150" t="s">
        <v>72</v>
      </c>
      <c r="B150" t="s">
        <v>2166</v>
      </c>
      <c r="C150" t="s">
        <v>74</v>
      </c>
      <c r="D150" t="s">
        <v>74</v>
      </c>
      <c r="E150" t="s">
        <v>74</v>
      </c>
      <c r="F150" t="s">
        <v>2166</v>
      </c>
      <c r="G150" t="s">
        <v>74</v>
      </c>
      <c r="H150" t="s">
        <v>74</v>
      </c>
      <c r="I150" t="s">
        <v>2167</v>
      </c>
      <c r="J150" t="s">
        <v>2168</v>
      </c>
      <c r="K150" t="s">
        <v>74</v>
      </c>
      <c r="L150" t="s">
        <v>74</v>
      </c>
      <c r="M150" t="s">
        <v>77</v>
      </c>
      <c r="N150" t="s">
        <v>78</v>
      </c>
      <c r="O150" t="s">
        <v>74</v>
      </c>
      <c r="P150" t="s">
        <v>74</v>
      </c>
      <c r="Q150" t="s">
        <v>74</v>
      </c>
      <c r="R150" t="s">
        <v>74</v>
      </c>
      <c r="S150" t="s">
        <v>74</v>
      </c>
      <c r="T150" t="s">
        <v>74</v>
      </c>
      <c r="U150" t="s">
        <v>2169</v>
      </c>
      <c r="V150" t="s">
        <v>2170</v>
      </c>
      <c r="W150" t="s">
        <v>2171</v>
      </c>
      <c r="X150" t="s">
        <v>2172</v>
      </c>
      <c r="Y150" t="s">
        <v>2173</v>
      </c>
      <c r="Z150" t="s">
        <v>74</v>
      </c>
      <c r="AA150" t="s">
        <v>2174</v>
      </c>
      <c r="AB150" t="s">
        <v>2175</v>
      </c>
      <c r="AC150" t="s">
        <v>74</v>
      </c>
      <c r="AD150" t="s">
        <v>74</v>
      </c>
      <c r="AE150" t="s">
        <v>74</v>
      </c>
      <c r="AF150" t="s">
        <v>74</v>
      </c>
      <c r="AG150">
        <v>22</v>
      </c>
      <c r="AH150">
        <v>35</v>
      </c>
      <c r="AI150">
        <v>39</v>
      </c>
      <c r="AJ150">
        <v>0</v>
      </c>
      <c r="AK150">
        <v>8</v>
      </c>
      <c r="AL150" t="s">
        <v>2176</v>
      </c>
      <c r="AM150" t="s">
        <v>109</v>
      </c>
      <c r="AN150" t="s">
        <v>2177</v>
      </c>
      <c r="AO150" t="s">
        <v>2178</v>
      </c>
      <c r="AP150" t="s">
        <v>74</v>
      </c>
      <c r="AQ150" t="s">
        <v>74</v>
      </c>
      <c r="AR150" t="s">
        <v>2179</v>
      </c>
      <c r="AS150" t="s">
        <v>2180</v>
      </c>
      <c r="AT150" t="s">
        <v>74</v>
      </c>
      <c r="AU150">
        <v>2001</v>
      </c>
      <c r="AV150">
        <v>47</v>
      </c>
      <c r="AW150">
        <v>156</v>
      </c>
      <c r="AX150" t="s">
        <v>74</v>
      </c>
      <c r="AY150" t="s">
        <v>74</v>
      </c>
      <c r="AZ150" t="s">
        <v>74</v>
      </c>
      <c r="BA150" t="s">
        <v>74</v>
      </c>
      <c r="BB150">
        <v>1</v>
      </c>
      <c r="BC150">
        <v>8</v>
      </c>
      <c r="BD150" t="s">
        <v>74</v>
      </c>
      <c r="BE150" t="s">
        <v>2181</v>
      </c>
      <c r="BF150" t="str">
        <f>HYPERLINK("http://dx.doi.org/10.3189/172756501781832548","http://dx.doi.org/10.3189/172756501781832548")</f>
        <v>http://dx.doi.org/10.3189/172756501781832548</v>
      </c>
      <c r="BG150" t="s">
        <v>74</v>
      </c>
      <c r="BH150" t="s">
        <v>74</v>
      </c>
      <c r="BI150">
        <v>8</v>
      </c>
      <c r="BJ150" t="s">
        <v>1214</v>
      </c>
      <c r="BK150" t="s">
        <v>94</v>
      </c>
      <c r="BL150" t="s">
        <v>1215</v>
      </c>
      <c r="BM150" t="s">
        <v>2182</v>
      </c>
      <c r="BN150" t="s">
        <v>74</v>
      </c>
      <c r="BO150" t="s">
        <v>1755</v>
      </c>
      <c r="BP150" t="s">
        <v>74</v>
      </c>
      <c r="BQ150" t="s">
        <v>74</v>
      </c>
      <c r="BR150" t="s">
        <v>97</v>
      </c>
      <c r="BS150" t="s">
        <v>2183</v>
      </c>
      <c r="BT150" t="str">
        <f>HYPERLINK("https%3A%2F%2Fwww.webofscience.com%2Fwos%2Fwoscc%2Ffull-record%2FWOS:000170669200001","View Full Record in Web of Science")</f>
        <v>View Full Record in Web of Science</v>
      </c>
    </row>
    <row r="151" spans="1:72" x14ac:dyDescent="0.15">
      <c r="A151" t="s">
        <v>72</v>
      </c>
      <c r="B151" t="s">
        <v>2184</v>
      </c>
      <c r="C151" t="s">
        <v>74</v>
      </c>
      <c r="D151" t="s">
        <v>74</v>
      </c>
      <c r="E151" t="s">
        <v>74</v>
      </c>
      <c r="F151" t="s">
        <v>2184</v>
      </c>
      <c r="G151" t="s">
        <v>74</v>
      </c>
      <c r="H151" t="s">
        <v>74</v>
      </c>
      <c r="I151" t="s">
        <v>2185</v>
      </c>
      <c r="J151" t="s">
        <v>2168</v>
      </c>
      <c r="K151" t="s">
        <v>74</v>
      </c>
      <c r="L151" t="s">
        <v>74</v>
      </c>
      <c r="M151" t="s">
        <v>77</v>
      </c>
      <c r="N151" t="s">
        <v>78</v>
      </c>
      <c r="O151" t="s">
        <v>74</v>
      </c>
      <c r="P151" t="s">
        <v>74</v>
      </c>
      <c r="Q151" t="s">
        <v>74</v>
      </c>
      <c r="R151" t="s">
        <v>74</v>
      </c>
      <c r="S151" t="s">
        <v>74</v>
      </c>
      <c r="T151" t="s">
        <v>74</v>
      </c>
      <c r="U151" t="s">
        <v>2186</v>
      </c>
      <c r="V151" t="s">
        <v>2187</v>
      </c>
      <c r="W151" t="s">
        <v>2188</v>
      </c>
      <c r="X151" t="s">
        <v>1883</v>
      </c>
      <c r="Y151" t="s">
        <v>2189</v>
      </c>
      <c r="Z151" t="s">
        <v>74</v>
      </c>
      <c r="AA151" t="s">
        <v>2190</v>
      </c>
      <c r="AB151" t="s">
        <v>2191</v>
      </c>
      <c r="AC151" t="s">
        <v>74</v>
      </c>
      <c r="AD151" t="s">
        <v>74</v>
      </c>
      <c r="AE151" t="s">
        <v>74</v>
      </c>
      <c r="AF151" t="s">
        <v>74</v>
      </c>
      <c r="AG151">
        <v>32</v>
      </c>
      <c r="AH151">
        <v>35</v>
      </c>
      <c r="AI151">
        <v>39</v>
      </c>
      <c r="AJ151">
        <v>0</v>
      </c>
      <c r="AK151">
        <v>7</v>
      </c>
      <c r="AL151" t="s">
        <v>108</v>
      </c>
      <c r="AM151" t="s">
        <v>109</v>
      </c>
      <c r="AN151" t="s">
        <v>2192</v>
      </c>
      <c r="AO151" t="s">
        <v>2178</v>
      </c>
      <c r="AP151" t="s">
        <v>2193</v>
      </c>
      <c r="AQ151" t="s">
        <v>74</v>
      </c>
      <c r="AR151" t="s">
        <v>2179</v>
      </c>
      <c r="AS151" t="s">
        <v>2180</v>
      </c>
      <c r="AT151" t="s">
        <v>74</v>
      </c>
      <c r="AU151">
        <v>2001</v>
      </c>
      <c r="AV151">
        <v>47</v>
      </c>
      <c r="AW151">
        <v>156</v>
      </c>
      <c r="AX151" t="s">
        <v>74</v>
      </c>
      <c r="AY151" t="s">
        <v>74</v>
      </c>
      <c r="AZ151" t="s">
        <v>74</v>
      </c>
      <c r="BA151" t="s">
        <v>74</v>
      </c>
      <c r="BB151">
        <v>37</v>
      </c>
      <c r="BC151">
        <v>50</v>
      </c>
      <c r="BD151" t="s">
        <v>74</v>
      </c>
      <c r="BE151" t="s">
        <v>2194</v>
      </c>
      <c r="BF151" t="str">
        <f>HYPERLINK("http://dx.doi.org/10.3189/172756501781832557","http://dx.doi.org/10.3189/172756501781832557")</f>
        <v>http://dx.doi.org/10.3189/172756501781832557</v>
      </c>
      <c r="BG151" t="s">
        <v>74</v>
      </c>
      <c r="BH151" t="s">
        <v>74</v>
      </c>
      <c r="BI151">
        <v>14</v>
      </c>
      <c r="BJ151" t="s">
        <v>1214</v>
      </c>
      <c r="BK151" t="s">
        <v>94</v>
      </c>
      <c r="BL151" t="s">
        <v>1215</v>
      </c>
      <c r="BM151" t="s">
        <v>2182</v>
      </c>
      <c r="BN151" t="s">
        <v>74</v>
      </c>
      <c r="BO151" t="s">
        <v>1755</v>
      </c>
      <c r="BP151" t="s">
        <v>74</v>
      </c>
      <c r="BQ151" t="s">
        <v>74</v>
      </c>
      <c r="BR151" t="s">
        <v>97</v>
      </c>
      <c r="BS151" t="s">
        <v>2195</v>
      </c>
      <c r="BT151" t="str">
        <f>HYPERLINK("https%3A%2F%2Fwww.webofscience.com%2Fwos%2Fwoscc%2Ffull-record%2FWOS:000170669200005","View Full Record in Web of Science")</f>
        <v>View Full Record in Web of Science</v>
      </c>
    </row>
    <row r="152" spans="1:72" x14ac:dyDescent="0.15">
      <c r="A152" t="s">
        <v>72</v>
      </c>
      <c r="B152" t="s">
        <v>2196</v>
      </c>
      <c r="C152" t="s">
        <v>74</v>
      </c>
      <c r="D152" t="s">
        <v>74</v>
      </c>
      <c r="E152" t="s">
        <v>74</v>
      </c>
      <c r="F152" t="s">
        <v>2196</v>
      </c>
      <c r="G152" t="s">
        <v>74</v>
      </c>
      <c r="H152" t="s">
        <v>74</v>
      </c>
      <c r="I152" t="s">
        <v>2197</v>
      </c>
      <c r="J152" t="s">
        <v>2168</v>
      </c>
      <c r="K152" t="s">
        <v>74</v>
      </c>
      <c r="L152" t="s">
        <v>74</v>
      </c>
      <c r="M152" t="s">
        <v>77</v>
      </c>
      <c r="N152" t="s">
        <v>78</v>
      </c>
      <c r="O152" t="s">
        <v>74</v>
      </c>
      <c r="P152" t="s">
        <v>74</v>
      </c>
      <c r="Q152" t="s">
        <v>74</v>
      </c>
      <c r="R152" t="s">
        <v>74</v>
      </c>
      <c r="S152" t="s">
        <v>74</v>
      </c>
      <c r="T152" t="s">
        <v>74</v>
      </c>
      <c r="U152" t="s">
        <v>2198</v>
      </c>
      <c r="V152" t="s">
        <v>2199</v>
      </c>
      <c r="W152" t="s">
        <v>885</v>
      </c>
      <c r="X152" t="s">
        <v>221</v>
      </c>
      <c r="Y152" t="s">
        <v>2200</v>
      </c>
      <c r="Z152" t="s">
        <v>74</v>
      </c>
      <c r="AA152" t="s">
        <v>2201</v>
      </c>
      <c r="AB152" t="s">
        <v>2202</v>
      </c>
      <c r="AC152" t="s">
        <v>2203</v>
      </c>
      <c r="AD152" t="s">
        <v>797</v>
      </c>
      <c r="AE152" t="s">
        <v>74</v>
      </c>
      <c r="AF152" t="s">
        <v>74</v>
      </c>
      <c r="AG152">
        <v>26</v>
      </c>
      <c r="AH152">
        <v>53</v>
      </c>
      <c r="AI152">
        <v>56</v>
      </c>
      <c r="AJ152">
        <v>0</v>
      </c>
      <c r="AK152">
        <v>8</v>
      </c>
      <c r="AL152" t="s">
        <v>108</v>
      </c>
      <c r="AM152" t="s">
        <v>109</v>
      </c>
      <c r="AN152" t="s">
        <v>2192</v>
      </c>
      <c r="AO152" t="s">
        <v>2178</v>
      </c>
      <c r="AP152" t="s">
        <v>2193</v>
      </c>
      <c r="AQ152" t="s">
        <v>74</v>
      </c>
      <c r="AR152" t="s">
        <v>2179</v>
      </c>
      <c r="AS152" t="s">
        <v>2180</v>
      </c>
      <c r="AT152" t="s">
        <v>74</v>
      </c>
      <c r="AU152">
        <v>2001</v>
      </c>
      <c r="AV152">
        <v>47</v>
      </c>
      <c r="AW152">
        <v>156</v>
      </c>
      <c r="AX152" t="s">
        <v>74</v>
      </c>
      <c r="AY152" t="s">
        <v>74</v>
      </c>
      <c r="AZ152" t="s">
        <v>74</v>
      </c>
      <c r="BA152" t="s">
        <v>74</v>
      </c>
      <c r="BB152">
        <v>51</v>
      </c>
      <c r="BC152">
        <v>57</v>
      </c>
      <c r="BD152" t="s">
        <v>74</v>
      </c>
      <c r="BE152" t="s">
        <v>2204</v>
      </c>
      <c r="BF152" t="str">
        <f>HYPERLINK("http://dx.doi.org/10.3189/172756501781832395","http://dx.doi.org/10.3189/172756501781832395")</f>
        <v>http://dx.doi.org/10.3189/172756501781832395</v>
      </c>
      <c r="BG152" t="s">
        <v>74</v>
      </c>
      <c r="BH152" t="s">
        <v>74</v>
      </c>
      <c r="BI152">
        <v>7</v>
      </c>
      <c r="BJ152" t="s">
        <v>1214</v>
      </c>
      <c r="BK152" t="s">
        <v>94</v>
      </c>
      <c r="BL152" t="s">
        <v>1215</v>
      </c>
      <c r="BM152" t="s">
        <v>2182</v>
      </c>
      <c r="BN152" t="s">
        <v>74</v>
      </c>
      <c r="BO152" t="s">
        <v>1755</v>
      </c>
      <c r="BP152" t="s">
        <v>74</v>
      </c>
      <c r="BQ152" t="s">
        <v>74</v>
      </c>
      <c r="BR152" t="s">
        <v>97</v>
      </c>
      <c r="BS152" t="s">
        <v>2205</v>
      </c>
      <c r="BT152" t="str">
        <f>HYPERLINK("https%3A%2F%2Fwww.webofscience.com%2Fwos%2Fwoscc%2Ffull-record%2FWOS:000170669200006","View Full Record in Web of Science")</f>
        <v>View Full Record in Web of Science</v>
      </c>
    </row>
    <row r="153" spans="1:72" x14ac:dyDescent="0.15">
      <c r="A153" t="s">
        <v>72</v>
      </c>
      <c r="B153" t="s">
        <v>2206</v>
      </c>
      <c r="C153" t="s">
        <v>74</v>
      </c>
      <c r="D153" t="s">
        <v>74</v>
      </c>
      <c r="E153" t="s">
        <v>74</v>
      </c>
      <c r="F153" t="s">
        <v>2206</v>
      </c>
      <c r="G153" t="s">
        <v>74</v>
      </c>
      <c r="H153" t="s">
        <v>74</v>
      </c>
      <c r="I153" t="s">
        <v>2207</v>
      </c>
      <c r="J153" t="s">
        <v>2168</v>
      </c>
      <c r="K153" t="s">
        <v>74</v>
      </c>
      <c r="L153" t="s">
        <v>74</v>
      </c>
      <c r="M153" t="s">
        <v>77</v>
      </c>
      <c r="N153" t="s">
        <v>2208</v>
      </c>
      <c r="O153" t="s">
        <v>74</v>
      </c>
      <c r="P153" t="s">
        <v>74</v>
      </c>
      <c r="Q153" t="s">
        <v>74</v>
      </c>
      <c r="R153" t="s">
        <v>74</v>
      </c>
      <c r="S153" t="s">
        <v>74</v>
      </c>
      <c r="T153" t="s">
        <v>74</v>
      </c>
      <c r="U153" t="s">
        <v>74</v>
      </c>
      <c r="V153" t="s">
        <v>74</v>
      </c>
      <c r="W153" t="s">
        <v>2209</v>
      </c>
      <c r="X153" t="s">
        <v>2210</v>
      </c>
      <c r="Y153" t="s">
        <v>2211</v>
      </c>
      <c r="Z153" t="s">
        <v>74</v>
      </c>
      <c r="AA153" t="s">
        <v>2212</v>
      </c>
      <c r="AB153" t="s">
        <v>2213</v>
      </c>
      <c r="AC153" t="s">
        <v>74</v>
      </c>
      <c r="AD153" t="s">
        <v>74</v>
      </c>
      <c r="AE153" t="s">
        <v>74</v>
      </c>
      <c r="AF153" t="s">
        <v>74</v>
      </c>
      <c r="AG153">
        <v>7</v>
      </c>
      <c r="AH153">
        <v>4</v>
      </c>
      <c r="AI153">
        <v>4</v>
      </c>
      <c r="AJ153">
        <v>0</v>
      </c>
      <c r="AK153">
        <v>0</v>
      </c>
      <c r="AL153" t="s">
        <v>108</v>
      </c>
      <c r="AM153" t="s">
        <v>109</v>
      </c>
      <c r="AN153" t="s">
        <v>2192</v>
      </c>
      <c r="AO153" t="s">
        <v>2178</v>
      </c>
      <c r="AP153" t="s">
        <v>2193</v>
      </c>
      <c r="AQ153" t="s">
        <v>74</v>
      </c>
      <c r="AR153" t="s">
        <v>2179</v>
      </c>
      <c r="AS153" t="s">
        <v>2180</v>
      </c>
      <c r="AT153" t="s">
        <v>74</v>
      </c>
      <c r="AU153">
        <v>2001</v>
      </c>
      <c r="AV153">
        <v>47</v>
      </c>
      <c r="AW153">
        <v>156</v>
      </c>
      <c r="AX153" t="s">
        <v>74</v>
      </c>
      <c r="AY153" t="s">
        <v>74</v>
      </c>
      <c r="AZ153" t="s">
        <v>74</v>
      </c>
      <c r="BA153" t="s">
        <v>74</v>
      </c>
      <c r="BB153">
        <v>159</v>
      </c>
      <c r="BC153">
        <v>160</v>
      </c>
      <c r="BD153" t="s">
        <v>74</v>
      </c>
      <c r="BE153" t="s">
        <v>2214</v>
      </c>
      <c r="BF153" t="str">
        <f>HYPERLINK("http://dx.doi.org/10.3189/172756501781832430","http://dx.doi.org/10.3189/172756501781832430")</f>
        <v>http://dx.doi.org/10.3189/172756501781832430</v>
      </c>
      <c r="BG153" t="s">
        <v>74</v>
      </c>
      <c r="BH153" t="s">
        <v>74</v>
      </c>
      <c r="BI153">
        <v>2</v>
      </c>
      <c r="BJ153" t="s">
        <v>1214</v>
      </c>
      <c r="BK153" t="s">
        <v>94</v>
      </c>
      <c r="BL153" t="s">
        <v>1215</v>
      </c>
      <c r="BM153" t="s">
        <v>2182</v>
      </c>
      <c r="BN153" t="s">
        <v>74</v>
      </c>
      <c r="BO153" t="s">
        <v>1755</v>
      </c>
      <c r="BP153" t="s">
        <v>74</v>
      </c>
      <c r="BQ153" t="s">
        <v>74</v>
      </c>
      <c r="BR153" t="s">
        <v>97</v>
      </c>
      <c r="BS153" t="s">
        <v>2215</v>
      </c>
      <c r="BT153" t="str">
        <f>HYPERLINK("https%3A%2F%2Fwww.webofscience.com%2Fwos%2Fwoscc%2Ffull-record%2FWOS:000170669200020","View Full Record in Web of Science")</f>
        <v>View Full Record in Web of Science</v>
      </c>
    </row>
    <row r="154" spans="1:72" x14ac:dyDescent="0.15">
      <c r="A154" t="s">
        <v>72</v>
      </c>
      <c r="B154" t="s">
        <v>2216</v>
      </c>
      <c r="C154" t="s">
        <v>74</v>
      </c>
      <c r="D154" t="s">
        <v>74</v>
      </c>
      <c r="E154" t="s">
        <v>74</v>
      </c>
      <c r="F154" t="s">
        <v>2216</v>
      </c>
      <c r="G154" t="s">
        <v>74</v>
      </c>
      <c r="H154" t="s">
        <v>74</v>
      </c>
      <c r="I154" t="s">
        <v>2217</v>
      </c>
      <c r="J154" t="s">
        <v>2168</v>
      </c>
      <c r="K154" t="s">
        <v>74</v>
      </c>
      <c r="L154" t="s">
        <v>74</v>
      </c>
      <c r="M154" t="s">
        <v>77</v>
      </c>
      <c r="N154" t="s">
        <v>2208</v>
      </c>
      <c r="O154" t="s">
        <v>74</v>
      </c>
      <c r="P154" t="s">
        <v>74</v>
      </c>
      <c r="Q154" t="s">
        <v>74</v>
      </c>
      <c r="R154" t="s">
        <v>74</v>
      </c>
      <c r="S154" t="s">
        <v>74</v>
      </c>
      <c r="T154" t="s">
        <v>74</v>
      </c>
      <c r="U154" t="s">
        <v>2218</v>
      </c>
      <c r="V154" t="s">
        <v>74</v>
      </c>
      <c r="W154" t="s">
        <v>2219</v>
      </c>
      <c r="X154" t="s">
        <v>2220</v>
      </c>
      <c r="Y154" t="s">
        <v>2221</v>
      </c>
      <c r="Z154" t="s">
        <v>74</v>
      </c>
      <c r="AA154" t="s">
        <v>2222</v>
      </c>
      <c r="AB154" t="s">
        <v>2223</v>
      </c>
      <c r="AC154" t="s">
        <v>74</v>
      </c>
      <c r="AD154" t="s">
        <v>74</v>
      </c>
      <c r="AE154" t="s">
        <v>74</v>
      </c>
      <c r="AF154" t="s">
        <v>74</v>
      </c>
      <c r="AG154">
        <v>20</v>
      </c>
      <c r="AH154">
        <v>16</v>
      </c>
      <c r="AI154">
        <v>25</v>
      </c>
      <c r="AJ154">
        <v>1</v>
      </c>
      <c r="AK154">
        <v>4</v>
      </c>
      <c r="AL154" t="s">
        <v>108</v>
      </c>
      <c r="AM154" t="s">
        <v>109</v>
      </c>
      <c r="AN154" t="s">
        <v>2192</v>
      </c>
      <c r="AO154" t="s">
        <v>2178</v>
      </c>
      <c r="AP154" t="s">
        <v>2193</v>
      </c>
      <c r="AQ154" t="s">
        <v>74</v>
      </c>
      <c r="AR154" t="s">
        <v>2179</v>
      </c>
      <c r="AS154" t="s">
        <v>2180</v>
      </c>
      <c r="AT154" t="s">
        <v>74</v>
      </c>
      <c r="AU154">
        <v>2001</v>
      </c>
      <c r="AV154">
        <v>47</v>
      </c>
      <c r="AW154">
        <v>156</v>
      </c>
      <c r="AX154" t="s">
        <v>74</v>
      </c>
      <c r="AY154" t="s">
        <v>74</v>
      </c>
      <c r="AZ154" t="s">
        <v>74</v>
      </c>
      <c r="BA154" t="s">
        <v>74</v>
      </c>
      <c r="BB154">
        <v>160</v>
      </c>
      <c r="BC154">
        <v>162</v>
      </c>
      <c r="BD154" t="s">
        <v>74</v>
      </c>
      <c r="BE154" t="s">
        <v>74</v>
      </c>
      <c r="BF154" t="s">
        <v>74</v>
      </c>
      <c r="BG154" t="s">
        <v>74</v>
      </c>
      <c r="BH154" t="s">
        <v>74</v>
      </c>
      <c r="BI154">
        <v>3</v>
      </c>
      <c r="BJ154" t="s">
        <v>1214</v>
      </c>
      <c r="BK154" t="s">
        <v>94</v>
      </c>
      <c r="BL154" t="s">
        <v>1215</v>
      </c>
      <c r="BM154" t="s">
        <v>2182</v>
      </c>
      <c r="BN154" t="s">
        <v>74</v>
      </c>
      <c r="BO154" t="s">
        <v>74</v>
      </c>
      <c r="BP154" t="s">
        <v>74</v>
      </c>
      <c r="BQ154" t="s">
        <v>74</v>
      </c>
      <c r="BR154" t="s">
        <v>97</v>
      </c>
      <c r="BS154" t="s">
        <v>2224</v>
      </c>
      <c r="BT154" t="str">
        <f>HYPERLINK("https%3A%2F%2Fwww.webofscience.com%2Fwos%2Fwoscc%2Ffull-record%2FWOS:000170669200021","View Full Record in Web of Science")</f>
        <v>View Full Record in Web of Science</v>
      </c>
    </row>
    <row r="155" spans="1:72" x14ac:dyDescent="0.15">
      <c r="A155" t="s">
        <v>72</v>
      </c>
      <c r="B155" t="s">
        <v>2225</v>
      </c>
      <c r="C155" t="s">
        <v>74</v>
      </c>
      <c r="D155" t="s">
        <v>74</v>
      </c>
      <c r="E155" t="s">
        <v>74</v>
      </c>
      <c r="F155" t="s">
        <v>2225</v>
      </c>
      <c r="G155" t="s">
        <v>74</v>
      </c>
      <c r="H155" t="s">
        <v>74</v>
      </c>
      <c r="I155" t="s">
        <v>2226</v>
      </c>
      <c r="J155" t="s">
        <v>2168</v>
      </c>
      <c r="K155" t="s">
        <v>74</v>
      </c>
      <c r="L155" t="s">
        <v>74</v>
      </c>
      <c r="M155" t="s">
        <v>77</v>
      </c>
      <c r="N155" t="s">
        <v>78</v>
      </c>
      <c r="O155" t="s">
        <v>74</v>
      </c>
      <c r="P155" t="s">
        <v>74</v>
      </c>
      <c r="Q155" t="s">
        <v>74</v>
      </c>
      <c r="R155" t="s">
        <v>74</v>
      </c>
      <c r="S155" t="s">
        <v>74</v>
      </c>
      <c r="T155" t="s">
        <v>74</v>
      </c>
      <c r="U155" t="s">
        <v>2227</v>
      </c>
      <c r="V155" t="s">
        <v>2228</v>
      </c>
      <c r="W155" t="s">
        <v>2229</v>
      </c>
      <c r="X155" t="s">
        <v>2230</v>
      </c>
      <c r="Y155" t="s">
        <v>2231</v>
      </c>
      <c r="Z155" t="s">
        <v>74</v>
      </c>
      <c r="AA155" t="s">
        <v>2232</v>
      </c>
      <c r="AB155" t="s">
        <v>2233</v>
      </c>
      <c r="AC155" t="s">
        <v>74</v>
      </c>
      <c r="AD155" t="s">
        <v>74</v>
      </c>
      <c r="AE155" t="s">
        <v>74</v>
      </c>
      <c r="AF155" t="s">
        <v>74</v>
      </c>
      <c r="AG155">
        <v>16</v>
      </c>
      <c r="AH155">
        <v>21</v>
      </c>
      <c r="AI155">
        <v>23</v>
      </c>
      <c r="AJ155">
        <v>0</v>
      </c>
      <c r="AK155">
        <v>2</v>
      </c>
      <c r="AL155" t="s">
        <v>2176</v>
      </c>
      <c r="AM155" t="s">
        <v>109</v>
      </c>
      <c r="AN155" t="s">
        <v>2177</v>
      </c>
      <c r="AO155" t="s">
        <v>2178</v>
      </c>
      <c r="AP155" t="s">
        <v>74</v>
      </c>
      <c r="AQ155" t="s">
        <v>74</v>
      </c>
      <c r="AR155" t="s">
        <v>2179</v>
      </c>
      <c r="AS155" t="s">
        <v>2180</v>
      </c>
      <c r="AT155" t="s">
        <v>74</v>
      </c>
      <c r="AU155">
        <v>2001</v>
      </c>
      <c r="AV155">
        <v>47</v>
      </c>
      <c r="AW155">
        <v>157</v>
      </c>
      <c r="AX155" t="s">
        <v>74</v>
      </c>
      <c r="AY155" t="s">
        <v>74</v>
      </c>
      <c r="AZ155" t="s">
        <v>74</v>
      </c>
      <c r="BA155" t="s">
        <v>74</v>
      </c>
      <c r="BB155">
        <v>205</v>
      </c>
      <c r="BC155">
        <v>212</v>
      </c>
      <c r="BD155" t="s">
        <v>74</v>
      </c>
      <c r="BE155" t="s">
        <v>2234</v>
      </c>
      <c r="BF155" t="str">
        <f>HYPERLINK("http://dx.doi.org/10.3189/172756501781832205","http://dx.doi.org/10.3189/172756501781832205")</f>
        <v>http://dx.doi.org/10.3189/172756501781832205</v>
      </c>
      <c r="BG155" t="s">
        <v>74</v>
      </c>
      <c r="BH155" t="s">
        <v>74</v>
      </c>
      <c r="BI155">
        <v>8</v>
      </c>
      <c r="BJ155" t="s">
        <v>1214</v>
      </c>
      <c r="BK155" t="s">
        <v>94</v>
      </c>
      <c r="BL155" t="s">
        <v>1215</v>
      </c>
      <c r="BM155" t="s">
        <v>2235</v>
      </c>
      <c r="BN155" t="s">
        <v>74</v>
      </c>
      <c r="BO155" t="s">
        <v>1755</v>
      </c>
      <c r="BP155" t="s">
        <v>74</v>
      </c>
      <c r="BQ155" t="s">
        <v>74</v>
      </c>
      <c r="BR155" t="s">
        <v>97</v>
      </c>
      <c r="BS155" t="s">
        <v>2236</v>
      </c>
      <c r="BT155" t="str">
        <f>HYPERLINK("https%3A%2F%2Fwww.webofscience.com%2Fwos%2Fwoscc%2Ffull-record%2FWOS:000172783800005","View Full Record in Web of Science")</f>
        <v>View Full Record in Web of Science</v>
      </c>
    </row>
    <row r="156" spans="1:72" x14ac:dyDescent="0.15">
      <c r="A156" t="s">
        <v>72</v>
      </c>
      <c r="B156" t="s">
        <v>2237</v>
      </c>
      <c r="C156" t="s">
        <v>74</v>
      </c>
      <c r="D156" t="s">
        <v>74</v>
      </c>
      <c r="E156" t="s">
        <v>74</v>
      </c>
      <c r="F156" t="s">
        <v>2237</v>
      </c>
      <c r="G156" t="s">
        <v>74</v>
      </c>
      <c r="H156" t="s">
        <v>74</v>
      </c>
      <c r="I156" t="s">
        <v>2238</v>
      </c>
      <c r="J156" t="s">
        <v>2168</v>
      </c>
      <c r="K156" t="s">
        <v>74</v>
      </c>
      <c r="L156" t="s">
        <v>74</v>
      </c>
      <c r="M156" t="s">
        <v>77</v>
      </c>
      <c r="N156" t="s">
        <v>78</v>
      </c>
      <c r="O156" t="s">
        <v>74</v>
      </c>
      <c r="P156" t="s">
        <v>74</v>
      </c>
      <c r="Q156" t="s">
        <v>74</v>
      </c>
      <c r="R156" t="s">
        <v>74</v>
      </c>
      <c r="S156" t="s">
        <v>74</v>
      </c>
      <c r="T156" t="s">
        <v>74</v>
      </c>
      <c r="U156" t="s">
        <v>2239</v>
      </c>
      <c r="V156" t="s">
        <v>2240</v>
      </c>
      <c r="W156" t="s">
        <v>885</v>
      </c>
      <c r="X156" t="s">
        <v>221</v>
      </c>
      <c r="Y156" t="s">
        <v>2200</v>
      </c>
      <c r="Z156" t="s">
        <v>74</v>
      </c>
      <c r="AA156" t="s">
        <v>2241</v>
      </c>
      <c r="AB156" t="s">
        <v>2242</v>
      </c>
      <c r="AC156" t="s">
        <v>74</v>
      </c>
      <c r="AD156" t="s">
        <v>74</v>
      </c>
      <c r="AE156" t="s">
        <v>74</v>
      </c>
      <c r="AF156" t="s">
        <v>74</v>
      </c>
      <c r="AG156">
        <v>45</v>
      </c>
      <c r="AH156">
        <v>1</v>
      </c>
      <c r="AI156">
        <v>1</v>
      </c>
      <c r="AJ156">
        <v>0</v>
      </c>
      <c r="AK156">
        <v>3</v>
      </c>
      <c r="AL156" t="s">
        <v>108</v>
      </c>
      <c r="AM156" t="s">
        <v>109</v>
      </c>
      <c r="AN156" t="s">
        <v>2192</v>
      </c>
      <c r="AO156" t="s">
        <v>2178</v>
      </c>
      <c r="AP156" t="s">
        <v>2193</v>
      </c>
      <c r="AQ156" t="s">
        <v>74</v>
      </c>
      <c r="AR156" t="s">
        <v>2179</v>
      </c>
      <c r="AS156" t="s">
        <v>2180</v>
      </c>
      <c r="AT156" t="s">
        <v>74</v>
      </c>
      <c r="AU156">
        <v>2001</v>
      </c>
      <c r="AV156">
        <v>47</v>
      </c>
      <c r="AW156">
        <v>157</v>
      </c>
      <c r="AX156" t="s">
        <v>74</v>
      </c>
      <c r="AY156" t="s">
        <v>74</v>
      </c>
      <c r="AZ156" t="s">
        <v>74</v>
      </c>
      <c r="BA156" t="s">
        <v>74</v>
      </c>
      <c r="BB156">
        <v>258</v>
      </c>
      <c r="BC156">
        <v>270</v>
      </c>
      <c r="BD156" t="s">
        <v>74</v>
      </c>
      <c r="BE156" t="s">
        <v>74</v>
      </c>
      <c r="BF156" t="s">
        <v>74</v>
      </c>
      <c r="BG156" t="s">
        <v>74</v>
      </c>
      <c r="BH156" t="s">
        <v>74</v>
      </c>
      <c r="BI156">
        <v>13</v>
      </c>
      <c r="BJ156" t="s">
        <v>1214</v>
      </c>
      <c r="BK156" t="s">
        <v>94</v>
      </c>
      <c r="BL156" t="s">
        <v>1215</v>
      </c>
      <c r="BM156" t="s">
        <v>2235</v>
      </c>
      <c r="BN156" t="s">
        <v>74</v>
      </c>
      <c r="BO156" t="s">
        <v>74</v>
      </c>
      <c r="BP156" t="s">
        <v>74</v>
      </c>
      <c r="BQ156" t="s">
        <v>74</v>
      </c>
      <c r="BR156" t="s">
        <v>97</v>
      </c>
      <c r="BS156" t="s">
        <v>2243</v>
      </c>
      <c r="BT156" t="str">
        <f>HYPERLINK("https%3A%2F%2Fwww.webofscience.com%2Fwos%2Fwoscc%2Ffull-record%2FWOS:000172783800011","View Full Record in Web of Science")</f>
        <v>View Full Record in Web of Science</v>
      </c>
    </row>
    <row r="157" spans="1:72" x14ac:dyDescent="0.15">
      <c r="A157" t="s">
        <v>72</v>
      </c>
      <c r="B157" t="s">
        <v>2244</v>
      </c>
      <c r="C157" t="s">
        <v>74</v>
      </c>
      <c r="D157" t="s">
        <v>74</v>
      </c>
      <c r="E157" t="s">
        <v>74</v>
      </c>
      <c r="F157" t="s">
        <v>2244</v>
      </c>
      <c r="G157" t="s">
        <v>74</v>
      </c>
      <c r="H157" t="s">
        <v>74</v>
      </c>
      <c r="I157" t="s">
        <v>2245</v>
      </c>
      <c r="J157" t="s">
        <v>2168</v>
      </c>
      <c r="K157" t="s">
        <v>74</v>
      </c>
      <c r="L157" t="s">
        <v>74</v>
      </c>
      <c r="M157" t="s">
        <v>77</v>
      </c>
      <c r="N157" t="s">
        <v>78</v>
      </c>
      <c r="O157" t="s">
        <v>74</v>
      </c>
      <c r="P157" t="s">
        <v>74</v>
      </c>
      <c r="Q157" t="s">
        <v>74</v>
      </c>
      <c r="R157" t="s">
        <v>74</v>
      </c>
      <c r="S157" t="s">
        <v>74</v>
      </c>
      <c r="T157" t="s">
        <v>74</v>
      </c>
      <c r="U157" t="s">
        <v>2246</v>
      </c>
      <c r="V157" t="s">
        <v>2247</v>
      </c>
      <c r="W157" t="s">
        <v>885</v>
      </c>
      <c r="X157" t="s">
        <v>221</v>
      </c>
      <c r="Y157" t="s">
        <v>2200</v>
      </c>
      <c r="Z157" t="s">
        <v>74</v>
      </c>
      <c r="AA157" t="s">
        <v>2241</v>
      </c>
      <c r="AB157" t="s">
        <v>2242</v>
      </c>
      <c r="AC157" t="s">
        <v>2248</v>
      </c>
      <c r="AD157" t="s">
        <v>2249</v>
      </c>
      <c r="AE157" t="s">
        <v>74</v>
      </c>
      <c r="AF157" t="s">
        <v>74</v>
      </c>
      <c r="AG157">
        <v>46</v>
      </c>
      <c r="AH157">
        <v>95</v>
      </c>
      <c r="AI157">
        <v>101</v>
      </c>
      <c r="AJ157">
        <v>0</v>
      </c>
      <c r="AK157">
        <v>11</v>
      </c>
      <c r="AL157" t="s">
        <v>108</v>
      </c>
      <c r="AM157" t="s">
        <v>109</v>
      </c>
      <c r="AN157" t="s">
        <v>2192</v>
      </c>
      <c r="AO157" t="s">
        <v>2178</v>
      </c>
      <c r="AP157" t="s">
        <v>2193</v>
      </c>
      <c r="AQ157" t="s">
        <v>74</v>
      </c>
      <c r="AR157" t="s">
        <v>2179</v>
      </c>
      <c r="AS157" t="s">
        <v>2180</v>
      </c>
      <c r="AT157" t="s">
        <v>74</v>
      </c>
      <c r="AU157">
        <v>2001</v>
      </c>
      <c r="AV157">
        <v>47</v>
      </c>
      <c r="AW157">
        <v>157</v>
      </c>
      <c r="AX157" t="s">
        <v>74</v>
      </c>
      <c r="AY157" t="s">
        <v>74</v>
      </c>
      <c r="AZ157" t="s">
        <v>74</v>
      </c>
      <c r="BA157" t="s">
        <v>74</v>
      </c>
      <c r="BB157">
        <v>271</v>
      </c>
      <c r="BC157">
        <v>282</v>
      </c>
      <c r="BD157" t="s">
        <v>74</v>
      </c>
      <c r="BE157" t="s">
        <v>2250</v>
      </c>
      <c r="BF157" t="str">
        <f>HYPERLINK("http://dx.doi.org/10.3189/172756501781832269","http://dx.doi.org/10.3189/172756501781832269")</f>
        <v>http://dx.doi.org/10.3189/172756501781832269</v>
      </c>
      <c r="BG157" t="s">
        <v>74</v>
      </c>
      <c r="BH157" t="s">
        <v>74</v>
      </c>
      <c r="BI157">
        <v>12</v>
      </c>
      <c r="BJ157" t="s">
        <v>1214</v>
      </c>
      <c r="BK157" t="s">
        <v>94</v>
      </c>
      <c r="BL157" t="s">
        <v>1215</v>
      </c>
      <c r="BM157" t="s">
        <v>2235</v>
      </c>
      <c r="BN157" t="s">
        <v>74</v>
      </c>
      <c r="BO157" t="s">
        <v>1755</v>
      </c>
      <c r="BP157" t="s">
        <v>74</v>
      </c>
      <c r="BQ157" t="s">
        <v>74</v>
      </c>
      <c r="BR157" t="s">
        <v>97</v>
      </c>
      <c r="BS157" t="s">
        <v>2251</v>
      </c>
      <c r="BT157" t="str">
        <f>HYPERLINK("https%3A%2F%2Fwww.webofscience.com%2Fwos%2Fwoscc%2Ffull-record%2FWOS:000172783800012","View Full Record in Web of Science")</f>
        <v>View Full Record in Web of Science</v>
      </c>
    </row>
    <row r="158" spans="1:72" x14ac:dyDescent="0.15">
      <c r="A158" t="s">
        <v>72</v>
      </c>
      <c r="B158" t="s">
        <v>2252</v>
      </c>
      <c r="C158" t="s">
        <v>74</v>
      </c>
      <c r="D158" t="s">
        <v>74</v>
      </c>
      <c r="E158" t="s">
        <v>74</v>
      </c>
      <c r="F158" t="s">
        <v>2252</v>
      </c>
      <c r="G158" t="s">
        <v>74</v>
      </c>
      <c r="H158" t="s">
        <v>74</v>
      </c>
      <c r="I158" t="s">
        <v>2253</v>
      </c>
      <c r="J158" t="s">
        <v>2168</v>
      </c>
      <c r="K158" t="s">
        <v>74</v>
      </c>
      <c r="L158" t="s">
        <v>74</v>
      </c>
      <c r="M158" t="s">
        <v>77</v>
      </c>
      <c r="N158" t="s">
        <v>78</v>
      </c>
      <c r="O158" t="s">
        <v>74</v>
      </c>
      <c r="P158" t="s">
        <v>74</v>
      </c>
      <c r="Q158" t="s">
        <v>74</v>
      </c>
      <c r="R158" t="s">
        <v>74</v>
      </c>
      <c r="S158" t="s">
        <v>74</v>
      </c>
      <c r="T158" t="s">
        <v>74</v>
      </c>
      <c r="U158" t="s">
        <v>2254</v>
      </c>
      <c r="V158" t="s">
        <v>2255</v>
      </c>
      <c r="W158" t="s">
        <v>2256</v>
      </c>
      <c r="X158" t="s">
        <v>2257</v>
      </c>
      <c r="Y158" t="s">
        <v>2258</v>
      </c>
      <c r="Z158" t="s">
        <v>74</v>
      </c>
      <c r="AA158" t="s">
        <v>2259</v>
      </c>
      <c r="AB158" t="s">
        <v>2260</v>
      </c>
      <c r="AC158" t="s">
        <v>74</v>
      </c>
      <c r="AD158" t="s">
        <v>74</v>
      </c>
      <c r="AE158" t="s">
        <v>74</v>
      </c>
      <c r="AF158" t="s">
        <v>74</v>
      </c>
      <c r="AG158">
        <v>39</v>
      </c>
      <c r="AH158">
        <v>5</v>
      </c>
      <c r="AI158">
        <v>5</v>
      </c>
      <c r="AJ158">
        <v>1</v>
      </c>
      <c r="AK158">
        <v>7</v>
      </c>
      <c r="AL158" t="s">
        <v>2176</v>
      </c>
      <c r="AM158" t="s">
        <v>109</v>
      </c>
      <c r="AN158" t="s">
        <v>2177</v>
      </c>
      <c r="AO158" t="s">
        <v>2178</v>
      </c>
      <c r="AP158" t="s">
        <v>74</v>
      </c>
      <c r="AQ158" t="s">
        <v>74</v>
      </c>
      <c r="AR158" t="s">
        <v>2179</v>
      </c>
      <c r="AS158" t="s">
        <v>2180</v>
      </c>
      <c r="AT158" t="s">
        <v>74</v>
      </c>
      <c r="AU158">
        <v>2001</v>
      </c>
      <c r="AV158">
        <v>47</v>
      </c>
      <c r="AW158">
        <v>157</v>
      </c>
      <c r="AX158" t="s">
        <v>74</v>
      </c>
      <c r="AY158" t="s">
        <v>74</v>
      </c>
      <c r="AZ158" t="s">
        <v>74</v>
      </c>
      <c r="BA158" t="s">
        <v>74</v>
      </c>
      <c r="BB158">
        <v>295</v>
      </c>
      <c r="BC158">
        <v>302</v>
      </c>
      <c r="BD158" t="s">
        <v>74</v>
      </c>
      <c r="BE158" t="s">
        <v>2261</v>
      </c>
      <c r="BF158" t="str">
        <f>HYPERLINK("http://dx.doi.org/10.3189/172756501781832331","http://dx.doi.org/10.3189/172756501781832331")</f>
        <v>http://dx.doi.org/10.3189/172756501781832331</v>
      </c>
      <c r="BG158" t="s">
        <v>74</v>
      </c>
      <c r="BH158" t="s">
        <v>74</v>
      </c>
      <c r="BI158">
        <v>8</v>
      </c>
      <c r="BJ158" t="s">
        <v>1214</v>
      </c>
      <c r="BK158" t="s">
        <v>94</v>
      </c>
      <c r="BL158" t="s">
        <v>1215</v>
      </c>
      <c r="BM158" t="s">
        <v>2235</v>
      </c>
      <c r="BN158" t="s">
        <v>74</v>
      </c>
      <c r="BO158" t="s">
        <v>1755</v>
      </c>
      <c r="BP158" t="s">
        <v>74</v>
      </c>
      <c r="BQ158" t="s">
        <v>74</v>
      </c>
      <c r="BR158" t="s">
        <v>97</v>
      </c>
      <c r="BS158" t="s">
        <v>2262</v>
      </c>
      <c r="BT158" t="str">
        <f>HYPERLINK("https%3A%2F%2Fwww.webofscience.com%2Fwos%2Fwoscc%2Ffull-record%2FWOS:000172783800014","View Full Record in Web of Science")</f>
        <v>View Full Record in Web of Science</v>
      </c>
    </row>
    <row r="159" spans="1:72" x14ac:dyDescent="0.15">
      <c r="A159" t="s">
        <v>72</v>
      </c>
      <c r="B159" t="s">
        <v>2263</v>
      </c>
      <c r="C159" t="s">
        <v>74</v>
      </c>
      <c r="D159" t="s">
        <v>74</v>
      </c>
      <c r="E159" t="s">
        <v>74</v>
      </c>
      <c r="F159" t="s">
        <v>2263</v>
      </c>
      <c r="G159" t="s">
        <v>74</v>
      </c>
      <c r="H159" t="s">
        <v>74</v>
      </c>
      <c r="I159" t="s">
        <v>2264</v>
      </c>
      <c r="J159" t="s">
        <v>2168</v>
      </c>
      <c r="K159" t="s">
        <v>74</v>
      </c>
      <c r="L159" t="s">
        <v>74</v>
      </c>
      <c r="M159" t="s">
        <v>77</v>
      </c>
      <c r="N159" t="s">
        <v>78</v>
      </c>
      <c r="O159" t="s">
        <v>74</v>
      </c>
      <c r="P159" t="s">
        <v>74</v>
      </c>
      <c r="Q159" t="s">
        <v>74</v>
      </c>
      <c r="R159" t="s">
        <v>74</v>
      </c>
      <c r="S159" t="s">
        <v>74</v>
      </c>
      <c r="T159" t="s">
        <v>74</v>
      </c>
      <c r="U159" t="s">
        <v>2265</v>
      </c>
      <c r="V159" t="s">
        <v>2266</v>
      </c>
      <c r="W159" t="s">
        <v>2267</v>
      </c>
      <c r="X159" t="s">
        <v>2268</v>
      </c>
      <c r="Y159" t="s">
        <v>2269</v>
      </c>
      <c r="Z159" t="s">
        <v>74</v>
      </c>
      <c r="AA159" t="s">
        <v>74</v>
      </c>
      <c r="AB159" t="s">
        <v>74</v>
      </c>
      <c r="AC159" t="s">
        <v>74</v>
      </c>
      <c r="AD159" t="s">
        <v>74</v>
      </c>
      <c r="AE159" t="s">
        <v>74</v>
      </c>
      <c r="AF159" t="s">
        <v>74</v>
      </c>
      <c r="AG159">
        <v>29</v>
      </c>
      <c r="AH159">
        <v>70</v>
      </c>
      <c r="AI159">
        <v>74</v>
      </c>
      <c r="AJ159">
        <v>2</v>
      </c>
      <c r="AK159">
        <v>25</v>
      </c>
      <c r="AL159" t="s">
        <v>108</v>
      </c>
      <c r="AM159" t="s">
        <v>109</v>
      </c>
      <c r="AN159" t="s">
        <v>2192</v>
      </c>
      <c r="AO159" t="s">
        <v>2178</v>
      </c>
      <c r="AP159" t="s">
        <v>2193</v>
      </c>
      <c r="AQ159" t="s">
        <v>74</v>
      </c>
      <c r="AR159" t="s">
        <v>2179</v>
      </c>
      <c r="AS159" t="s">
        <v>2180</v>
      </c>
      <c r="AT159" t="s">
        <v>74</v>
      </c>
      <c r="AU159">
        <v>2001</v>
      </c>
      <c r="AV159">
        <v>47</v>
      </c>
      <c r="AW159">
        <v>157</v>
      </c>
      <c r="AX159" t="s">
        <v>74</v>
      </c>
      <c r="AY159" t="s">
        <v>74</v>
      </c>
      <c r="AZ159" t="s">
        <v>74</v>
      </c>
      <c r="BA159" t="s">
        <v>74</v>
      </c>
      <c r="BB159">
        <v>325</v>
      </c>
      <c r="BC159">
        <v>334</v>
      </c>
      <c r="BD159" t="s">
        <v>74</v>
      </c>
      <c r="BE159" t="s">
        <v>2270</v>
      </c>
      <c r="BF159" t="str">
        <f>HYPERLINK("http://dx.doi.org/10.3189/172756501781832386","http://dx.doi.org/10.3189/172756501781832386")</f>
        <v>http://dx.doi.org/10.3189/172756501781832386</v>
      </c>
      <c r="BG159" t="s">
        <v>74</v>
      </c>
      <c r="BH159" t="s">
        <v>74</v>
      </c>
      <c r="BI159">
        <v>10</v>
      </c>
      <c r="BJ159" t="s">
        <v>1214</v>
      </c>
      <c r="BK159" t="s">
        <v>94</v>
      </c>
      <c r="BL159" t="s">
        <v>1215</v>
      </c>
      <c r="BM159" t="s">
        <v>2235</v>
      </c>
      <c r="BN159" t="s">
        <v>74</v>
      </c>
      <c r="BO159" t="s">
        <v>1755</v>
      </c>
      <c r="BP159" t="s">
        <v>74</v>
      </c>
      <c r="BQ159" t="s">
        <v>74</v>
      </c>
      <c r="BR159" t="s">
        <v>97</v>
      </c>
      <c r="BS159" t="s">
        <v>2271</v>
      </c>
      <c r="BT159" t="str">
        <f>HYPERLINK("https%3A%2F%2Fwww.webofscience.com%2Fwos%2Fwoscc%2Ffull-record%2FWOS:000172783800017","View Full Record in Web of Science")</f>
        <v>View Full Record in Web of Science</v>
      </c>
    </row>
    <row r="160" spans="1:72" x14ac:dyDescent="0.15">
      <c r="A160" t="s">
        <v>72</v>
      </c>
      <c r="B160" t="s">
        <v>2272</v>
      </c>
      <c r="C160" t="s">
        <v>74</v>
      </c>
      <c r="D160" t="s">
        <v>74</v>
      </c>
      <c r="E160" t="s">
        <v>74</v>
      </c>
      <c r="F160" t="s">
        <v>2272</v>
      </c>
      <c r="G160" t="s">
        <v>74</v>
      </c>
      <c r="H160" t="s">
        <v>74</v>
      </c>
      <c r="I160" t="s">
        <v>2273</v>
      </c>
      <c r="J160" t="s">
        <v>2168</v>
      </c>
      <c r="K160" t="s">
        <v>74</v>
      </c>
      <c r="L160" t="s">
        <v>74</v>
      </c>
      <c r="M160" t="s">
        <v>77</v>
      </c>
      <c r="N160" t="s">
        <v>78</v>
      </c>
      <c r="O160" t="s">
        <v>74</v>
      </c>
      <c r="P160" t="s">
        <v>74</v>
      </c>
      <c r="Q160" t="s">
        <v>74</v>
      </c>
      <c r="R160" t="s">
        <v>74</v>
      </c>
      <c r="S160" t="s">
        <v>74</v>
      </c>
      <c r="T160" t="s">
        <v>74</v>
      </c>
      <c r="U160" t="s">
        <v>2274</v>
      </c>
      <c r="V160" t="s">
        <v>2275</v>
      </c>
      <c r="W160" t="s">
        <v>2276</v>
      </c>
      <c r="X160" t="s">
        <v>2277</v>
      </c>
      <c r="Y160" t="s">
        <v>2269</v>
      </c>
      <c r="Z160" t="s">
        <v>74</v>
      </c>
      <c r="AA160" t="s">
        <v>2278</v>
      </c>
      <c r="AB160" t="s">
        <v>2279</v>
      </c>
      <c r="AC160" t="s">
        <v>2280</v>
      </c>
      <c r="AD160" t="s">
        <v>2249</v>
      </c>
      <c r="AE160" t="s">
        <v>74</v>
      </c>
      <c r="AF160" t="s">
        <v>74</v>
      </c>
      <c r="AG160">
        <v>64</v>
      </c>
      <c r="AH160">
        <v>57</v>
      </c>
      <c r="AI160">
        <v>59</v>
      </c>
      <c r="AJ160">
        <v>0</v>
      </c>
      <c r="AK160">
        <v>13</v>
      </c>
      <c r="AL160" t="s">
        <v>108</v>
      </c>
      <c r="AM160" t="s">
        <v>109</v>
      </c>
      <c r="AN160" t="s">
        <v>2192</v>
      </c>
      <c r="AO160" t="s">
        <v>2178</v>
      </c>
      <c r="AP160" t="s">
        <v>2193</v>
      </c>
      <c r="AQ160" t="s">
        <v>74</v>
      </c>
      <c r="AR160" t="s">
        <v>2179</v>
      </c>
      <c r="AS160" t="s">
        <v>2180</v>
      </c>
      <c r="AT160" t="s">
        <v>74</v>
      </c>
      <c r="AU160">
        <v>2001</v>
      </c>
      <c r="AV160">
        <v>47</v>
      </c>
      <c r="AW160">
        <v>157</v>
      </c>
      <c r="AX160" t="s">
        <v>74</v>
      </c>
      <c r="AY160" t="s">
        <v>74</v>
      </c>
      <c r="AZ160" t="s">
        <v>74</v>
      </c>
      <c r="BA160" t="s">
        <v>74</v>
      </c>
      <c r="BB160">
        <v>335</v>
      </c>
      <c r="BC160">
        <v>345</v>
      </c>
      <c r="BD160" t="s">
        <v>74</v>
      </c>
      <c r="BE160" t="s">
        <v>2281</v>
      </c>
      <c r="BF160" t="str">
        <f>HYPERLINK("http://dx.doi.org/10.3189/172756501781832313","http://dx.doi.org/10.3189/172756501781832313")</f>
        <v>http://dx.doi.org/10.3189/172756501781832313</v>
      </c>
      <c r="BG160" t="s">
        <v>74</v>
      </c>
      <c r="BH160" t="s">
        <v>74</v>
      </c>
      <c r="BI160">
        <v>11</v>
      </c>
      <c r="BJ160" t="s">
        <v>1214</v>
      </c>
      <c r="BK160" t="s">
        <v>94</v>
      </c>
      <c r="BL160" t="s">
        <v>1215</v>
      </c>
      <c r="BM160" t="s">
        <v>2235</v>
      </c>
      <c r="BN160" t="s">
        <v>74</v>
      </c>
      <c r="BO160" t="s">
        <v>1068</v>
      </c>
      <c r="BP160" t="s">
        <v>74</v>
      </c>
      <c r="BQ160" t="s">
        <v>74</v>
      </c>
      <c r="BR160" t="s">
        <v>97</v>
      </c>
      <c r="BS160" t="s">
        <v>2282</v>
      </c>
      <c r="BT160" t="str">
        <f>HYPERLINK("https%3A%2F%2Fwww.webofscience.com%2Fwos%2Fwoscc%2Ffull-record%2FWOS:000172783800018","View Full Record in Web of Science")</f>
        <v>View Full Record in Web of Science</v>
      </c>
    </row>
    <row r="161" spans="1:72" x14ac:dyDescent="0.15">
      <c r="A161" t="s">
        <v>72</v>
      </c>
      <c r="B161" t="s">
        <v>2283</v>
      </c>
      <c r="C161" t="s">
        <v>74</v>
      </c>
      <c r="D161" t="s">
        <v>74</v>
      </c>
      <c r="E161" t="s">
        <v>74</v>
      </c>
      <c r="F161" t="s">
        <v>2283</v>
      </c>
      <c r="G161" t="s">
        <v>74</v>
      </c>
      <c r="H161" t="s">
        <v>74</v>
      </c>
      <c r="I161" t="s">
        <v>2284</v>
      </c>
      <c r="J161" t="s">
        <v>2168</v>
      </c>
      <c r="K161" t="s">
        <v>74</v>
      </c>
      <c r="L161" t="s">
        <v>74</v>
      </c>
      <c r="M161" t="s">
        <v>77</v>
      </c>
      <c r="N161" t="s">
        <v>78</v>
      </c>
      <c r="O161" t="s">
        <v>74</v>
      </c>
      <c r="P161" t="s">
        <v>74</v>
      </c>
      <c r="Q161" t="s">
        <v>74</v>
      </c>
      <c r="R161" t="s">
        <v>74</v>
      </c>
      <c r="S161" t="s">
        <v>74</v>
      </c>
      <c r="T161" t="s">
        <v>74</v>
      </c>
      <c r="U161" t="s">
        <v>2285</v>
      </c>
      <c r="V161" t="s">
        <v>2286</v>
      </c>
      <c r="W161" t="s">
        <v>2287</v>
      </c>
      <c r="X161" t="s">
        <v>2288</v>
      </c>
      <c r="Y161" t="s">
        <v>2289</v>
      </c>
      <c r="Z161" t="s">
        <v>74</v>
      </c>
      <c r="AA161" t="s">
        <v>2290</v>
      </c>
      <c r="AB161" t="s">
        <v>2291</v>
      </c>
      <c r="AC161" t="s">
        <v>74</v>
      </c>
      <c r="AD161" t="s">
        <v>74</v>
      </c>
      <c r="AE161" t="s">
        <v>74</v>
      </c>
      <c r="AF161" t="s">
        <v>74</v>
      </c>
      <c r="AG161">
        <v>43</v>
      </c>
      <c r="AH161">
        <v>28</v>
      </c>
      <c r="AI161">
        <v>29</v>
      </c>
      <c r="AJ161">
        <v>0</v>
      </c>
      <c r="AK161">
        <v>9</v>
      </c>
      <c r="AL161" t="s">
        <v>2176</v>
      </c>
      <c r="AM161" t="s">
        <v>109</v>
      </c>
      <c r="AN161" t="s">
        <v>2177</v>
      </c>
      <c r="AO161" t="s">
        <v>2178</v>
      </c>
      <c r="AP161" t="s">
        <v>74</v>
      </c>
      <c r="AQ161" t="s">
        <v>74</v>
      </c>
      <c r="AR161" t="s">
        <v>2179</v>
      </c>
      <c r="AS161" t="s">
        <v>2180</v>
      </c>
      <c r="AT161" t="s">
        <v>74</v>
      </c>
      <c r="AU161">
        <v>2001</v>
      </c>
      <c r="AV161">
        <v>47</v>
      </c>
      <c r="AW161">
        <v>158</v>
      </c>
      <c r="AX161" t="s">
        <v>74</v>
      </c>
      <c r="AY161" t="s">
        <v>74</v>
      </c>
      <c r="AZ161" t="s">
        <v>74</v>
      </c>
      <c r="BA161" t="s">
        <v>74</v>
      </c>
      <c r="BB161">
        <v>359</v>
      </c>
      <c r="BC161">
        <v>368</v>
      </c>
      <c r="BD161" t="s">
        <v>74</v>
      </c>
      <c r="BE161" t="s">
        <v>2292</v>
      </c>
      <c r="BF161" t="str">
        <f>HYPERLINK("http://dx.doi.org/10.3189/172756501781832160","http://dx.doi.org/10.3189/172756501781832160")</f>
        <v>http://dx.doi.org/10.3189/172756501781832160</v>
      </c>
      <c r="BG161" t="s">
        <v>74</v>
      </c>
      <c r="BH161" t="s">
        <v>74</v>
      </c>
      <c r="BI161">
        <v>10</v>
      </c>
      <c r="BJ161" t="s">
        <v>1214</v>
      </c>
      <c r="BK161" t="s">
        <v>94</v>
      </c>
      <c r="BL161" t="s">
        <v>1215</v>
      </c>
      <c r="BM161" t="s">
        <v>2293</v>
      </c>
      <c r="BN161" t="s">
        <v>74</v>
      </c>
      <c r="BO161" t="s">
        <v>2294</v>
      </c>
      <c r="BP161" t="s">
        <v>74</v>
      </c>
      <c r="BQ161" t="s">
        <v>74</v>
      </c>
      <c r="BR161" t="s">
        <v>97</v>
      </c>
      <c r="BS161" t="s">
        <v>2295</v>
      </c>
      <c r="BT161" t="str">
        <f>HYPERLINK("https%3A%2F%2Fwww.webofscience.com%2Fwos%2Fwoscc%2Ffull-record%2FWOS:000173872500002","View Full Record in Web of Science")</f>
        <v>View Full Record in Web of Science</v>
      </c>
    </row>
    <row r="162" spans="1:72" x14ac:dyDescent="0.15">
      <c r="A162" t="s">
        <v>72</v>
      </c>
      <c r="B162" t="s">
        <v>2296</v>
      </c>
      <c r="C162" t="s">
        <v>74</v>
      </c>
      <c r="D162" t="s">
        <v>74</v>
      </c>
      <c r="E162" t="s">
        <v>74</v>
      </c>
      <c r="F162" t="s">
        <v>2296</v>
      </c>
      <c r="G162" t="s">
        <v>74</v>
      </c>
      <c r="H162" t="s">
        <v>74</v>
      </c>
      <c r="I162" t="s">
        <v>2297</v>
      </c>
      <c r="J162" t="s">
        <v>2168</v>
      </c>
      <c r="K162" t="s">
        <v>74</v>
      </c>
      <c r="L162" t="s">
        <v>74</v>
      </c>
      <c r="M162" t="s">
        <v>77</v>
      </c>
      <c r="N162" t="s">
        <v>78</v>
      </c>
      <c r="O162" t="s">
        <v>74</v>
      </c>
      <c r="P162" t="s">
        <v>74</v>
      </c>
      <c r="Q162" t="s">
        <v>74</v>
      </c>
      <c r="R162" t="s">
        <v>74</v>
      </c>
      <c r="S162" t="s">
        <v>74</v>
      </c>
      <c r="T162" t="s">
        <v>74</v>
      </c>
      <c r="U162" t="s">
        <v>2298</v>
      </c>
      <c r="V162" t="s">
        <v>2299</v>
      </c>
      <c r="W162" t="s">
        <v>2300</v>
      </c>
      <c r="X162" t="s">
        <v>2301</v>
      </c>
      <c r="Y162" t="s">
        <v>2302</v>
      </c>
      <c r="Z162" t="s">
        <v>74</v>
      </c>
      <c r="AA162" t="s">
        <v>2190</v>
      </c>
      <c r="AB162" t="s">
        <v>2191</v>
      </c>
      <c r="AC162" t="s">
        <v>74</v>
      </c>
      <c r="AD162" t="s">
        <v>74</v>
      </c>
      <c r="AE162" t="s">
        <v>74</v>
      </c>
      <c r="AF162" t="s">
        <v>74</v>
      </c>
      <c r="AG162">
        <v>23</v>
      </c>
      <c r="AH162">
        <v>14</v>
      </c>
      <c r="AI162">
        <v>15</v>
      </c>
      <c r="AJ162">
        <v>0</v>
      </c>
      <c r="AK162">
        <v>5</v>
      </c>
      <c r="AL162" t="s">
        <v>108</v>
      </c>
      <c r="AM162" t="s">
        <v>109</v>
      </c>
      <c r="AN162" t="s">
        <v>2192</v>
      </c>
      <c r="AO162" t="s">
        <v>2178</v>
      </c>
      <c r="AP162" t="s">
        <v>2193</v>
      </c>
      <c r="AQ162" t="s">
        <v>74</v>
      </c>
      <c r="AR162" t="s">
        <v>2179</v>
      </c>
      <c r="AS162" t="s">
        <v>2180</v>
      </c>
      <c r="AT162" t="s">
        <v>74</v>
      </c>
      <c r="AU162">
        <v>2001</v>
      </c>
      <c r="AV162">
        <v>47</v>
      </c>
      <c r="AW162">
        <v>158</v>
      </c>
      <c r="AX162" t="s">
        <v>74</v>
      </c>
      <c r="AY162" t="s">
        <v>74</v>
      </c>
      <c r="AZ162" t="s">
        <v>74</v>
      </c>
      <c r="BA162" t="s">
        <v>74</v>
      </c>
      <c r="BB162">
        <v>387</v>
      </c>
      <c r="BC162">
        <v>396</v>
      </c>
      <c r="BD162" t="s">
        <v>74</v>
      </c>
      <c r="BE162" t="s">
        <v>2303</v>
      </c>
      <c r="BF162" t="str">
        <f>HYPERLINK("http://dx.doi.org/10.3189/172756501781832106","http://dx.doi.org/10.3189/172756501781832106")</f>
        <v>http://dx.doi.org/10.3189/172756501781832106</v>
      </c>
      <c r="BG162" t="s">
        <v>74</v>
      </c>
      <c r="BH162" t="s">
        <v>74</v>
      </c>
      <c r="BI162">
        <v>10</v>
      </c>
      <c r="BJ162" t="s">
        <v>1214</v>
      </c>
      <c r="BK162" t="s">
        <v>94</v>
      </c>
      <c r="BL162" t="s">
        <v>1215</v>
      </c>
      <c r="BM162" t="s">
        <v>2293</v>
      </c>
      <c r="BN162" t="s">
        <v>74</v>
      </c>
      <c r="BO162" t="s">
        <v>2294</v>
      </c>
      <c r="BP162" t="s">
        <v>74</v>
      </c>
      <c r="BQ162" t="s">
        <v>74</v>
      </c>
      <c r="BR162" t="s">
        <v>97</v>
      </c>
      <c r="BS162" t="s">
        <v>2304</v>
      </c>
      <c r="BT162" t="str">
        <f>HYPERLINK("https%3A%2F%2Fwww.webofscience.com%2Fwos%2Fwoscc%2Ffull-record%2FWOS:000173872500005","View Full Record in Web of Science")</f>
        <v>View Full Record in Web of Science</v>
      </c>
    </row>
    <row r="163" spans="1:72" x14ac:dyDescent="0.15">
      <c r="A163" t="s">
        <v>72</v>
      </c>
      <c r="B163" t="s">
        <v>2305</v>
      </c>
      <c r="C163" t="s">
        <v>74</v>
      </c>
      <c r="D163" t="s">
        <v>74</v>
      </c>
      <c r="E163" t="s">
        <v>74</v>
      </c>
      <c r="F163" t="s">
        <v>2305</v>
      </c>
      <c r="G163" t="s">
        <v>74</v>
      </c>
      <c r="H163" t="s">
        <v>74</v>
      </c>
      <c r="I163" t="s">
        <v>2306</v>
      </c>
      <c r="J163" t="s">
        <v>2168</v>
      </c>
      <c r="K163" t="s">
        <v>74</v>
      </c>
      <c r="L163" t="s">
        <v>74</v>
      </c>
      <c r="M163" t="s">
        <v>77</v>
      </c>
      <c r="N163" t="s">
        <v>78</v>
      </c>
      <c r="O163" t="s">
        <v>74</v>
      </c>
      <c r="P163" t="s">
        <v>74</v>
      </c>
      <c r="Q163" t="s">
        <v>74</v>
      </c>
      <c r="R163" t="s">
        <v>74</v>
      </c>
      <c r="S163" t="s">
        <v>74</v>
      </c>
      <c r="T163" t="s">
        <v>74</v>
      </c>
      <c r="U163" t="s">
        <v>2307</v>
      </c>
      <c r="V163" t="s">
        <v>2308</v>
      </c>
      <c r="W163" t="s">
        <v>2309</v>
      </c>
      <c r="X163" t="s">
        <v>2310</v>
      </c>
      <c r="Y163" t="s">
        <v>2311</v>
      </c>
      <c r="Z163" t="s">
        <v>74</v>
      </c>
      <c r="AA163" t="s">
        <v>2312</v>
      </c>
      <c r="AB163" t="s">
        <v>74</v>
      </c>
      <c r="AC163" t="s">
        <v>74</v>
      </c>
      <c r="AD163" t="s">
        <v>74</v>
      </c>
      <c r="AE163" t="s">
        <v>74</v>
      </c>
      <c r="AF163" t="s">
        <v>74</v>
      </c>
      <c r="AG163">
        <v>68</v>
      </c>
      <c r="AH163">
        <v>189</v>
      </c>
      <c r="AI163">
        <v>202</v>
      </c>
      <c r="AJ163">
        <v>0</v>
      </c>
      <c r="AK163">
        <v>17</v>
      </c>
      <c r="AL163" t="s">
        <v>2176</v>
      </c>
      <c r="AM163" t="s">
        <v>109</v>
      </c>
      <c r="AN163" t="s">
        <v>2177</v>
      </c>
      <c r="AO163" t="s">
        <v>2178</v>
      </c>
      <c r="AP163" t="s">
        <v>74</v>
      </c>
      <c r="AQ163" t="s">
        <v>74</v>
      </c>
      <c r="AR163" t="s">
        <v>2179</v>
      </c>
      <c r="AS163" t="s">
        <v>2180</v>
      </c>
      <c r="AT163" t="s">
        <v>74</v>
      </c>
      <c r="AU163">
        <v>2001</v>
      </c>
      <c r="AV163">
        <v>47</v>
      </c>
      <c r="AW163">
        <v>158</v>
      </c>
      <c r="AX163" t="s">
        <v>74</v>
      </c>
      <c r="AY163" t="s">
        <v>74</v>
      </c>
      <c r="AZ163" t="s">
        <v>74</v>
      </c>
      <c r="BA163" t="s">
        <v>74</v>
      </c>
      <c r="BB163">
        <v>397</v>
      </c>
      <c r="BC163">
        <v>411</v>
      </c>
      <c r="BD163" t="s">
        <v>74</v>
      </c>
      <c r="BE163" t="s">
        <v>2313</v>
      </c>
      <c r="BF163" t="str">
        <f>HYPERLINK("http://dx.doi.org/10.3189/172756501781832043","http://dx.doi.org/10.3189/172756501781832043")</f>
        <v>http://dx.doi.org/10.3189/172756501781832043</v>
      </c>
      <c r="BG163" t="s">
        <v>74</v>
      </c>
      <c r="BH163" t="s">
        <v>74</v>
      </c>
      <c r="BI163">
        <v>15</v>
      </c>
      <c r="BJ163" t="s">
        <v>1214</v>
      </c>
      <c r="BK163" t="s">
        <v>94</v>
      </c>
      <c r="BL163" t="s">
        <v>1215</v>
      </c>
      <c r="BM163" t="s">
        <v>2293</v>
      </c>
      <c r="BN163" t="s">
        <v>74</v>
      </c>
      <c r="BO163" t="s">
        <v>1755</v>
      </c>
      <c r="BP163" t="s">
        <v>74</v>
      </c>
      <c r="BQ163" t="s">
        <v>74</v>
      </c>
      <c r="BR163" t="s">
        <v>97</v>
      </c>
      <c r="BS163" t="s">
        <v>2314</v>
      </c>
      <c r="BT163" t="str">
        <f>HYPERLINK("https%3A%2F%2Fwww.webofscience.com%2Fwos%2Fwoscc%2Ffull-record%2FWOS:000173872500006","View Full Record in Web of Science")</f>
        <v>View Full Record in Web of Science</v>
      </c>
    </row>
    <row r="164" spans="1:72" x14ac:dyDescent="0.15">
      <c r="A164" t="s">
        <v>72</v>
      </c>
      <c r="B164" t="s">
        <v>2315</v>
      </c>
      <c r="C164" t="s">
        <v>74</v>
      </c>
      <c r="D164" t="s">
        <v>74</v>
      </c>
      <c r="E164" t="s">
        <v>74</v>
      </c>
      <c r="F164" t="s">
        <v>2315</v>
      </c>
      <c r="G164" t="s">
        <v>74</v>
      </c>
      <c r="H164" t="s">
        <v>74</v>
      </c>
      <c r="I164" t="s">
        <v>2316</v>
      </c>
      <c r="J164" t="s">
        <v>2168</v>
      </c>
      <c r="K164" t="s">
        <v>74</v>
      </c>
      <c r="L164" t="s">
        <v>74</v>
      </c>
      <c r="M164" t="s">
        <v>77</v>
      </c>
      <c r="N164" t="s">
        <v>78</v>
      </c>
      <c r="O164" t="s">
        <v>74</v>
      </c>
      <c r="P164" t="s">
        <v>74</v>
      </c>
      <c r="Q164" t="s">
        <v>74</v>
      </c>
      <c r="R164" t="s">
        <v>74</v>
      </c>
      <c r="S164" t="s">
        <v>74</v>
      </c>
      <c r="T164" t="s">
        <v>74</v>
      </c>
      <c r="U164" t="s">
        <v>2317</v>
      </c>
      <c r="V164" t="s">
        <v>2318</v>
      </c>
      <c r="W164" t="s">
        <v>2319</v>
      </c>
      <c r="X164" t="s">
        <v>2320</v>
      </c>
      <c r="Y164" t="s">
        <v>2321</v>
      </c>
      <c r="Z164" t="s">
        <v>74</v>
      </c>
      <c r="AA164" t="s">
        <v>74</v>
      </c>
      <c r="AB164" t="s">
        <v>74</v>
      </c>
      <c r="AC164" t="s">
        <v>74</v>
      </c>
      <c r="AD164" t="s">
        <v>74</v>
      </c>
      <c r="AE164" t="s">
        <v>74</v>
      </c>
      <c r="AF164" t="s">
        <v>74</v>
      </c>
      <c r="AG164">
        <v>27</v>
      </c>
      <c r="AH164">
        <v>12</v>
      </c>
      <c r="AI164">
        <v>14</v>
      </c>
      <c r="AJ164">
        <v>0</v>
      </c>
      <c r="AK164">
        <v>9</v>
      </c>
      <c r="AL164" t="s">
        <v>108</v>
      </c>
      <c r="AM164" t="s">
        <v>109</v>
      </c>
      <c r="AN164" t="s">
        <v>2192</v>
      </c>
      <c r="AO164" t="s">
        <v>2178</v>
      </c>
      <c r="AP164" t="s">
        <v>2193</v>
      </c>
      <c r="AQ164" t="s">
        <v>74</v>
      </c>
      <c r="AR164" t="s">
        <v>2179</v>
      </c>
      <c r="AS164" t="s">
        <v>2180</v>
      </c>
      <c r="AT164" t="s">
        <v>74</v>
      </c>
      <c r="AU164">
        <v>2001</v>
      </c>
      <c r="AV164">
        <v>47</v>
      </c>
      <c r="AW164">
        <v>158</v>
      </c>
      <c r="AX164" t="s">
        <v>74</v>
      </c>
      <c r="AY164" t="s">
        <v>74</v>
      </c>
      <c r="AZ164" t="s">
        <v>74</v>
      </c>
      <c r="BA164" t="s">
        <v>74</v>
      </c>
      <c r="BB164">
        <v>433</v>
      </c>
      <c r="BC164">
        <v>440</v>
      </c>
      <c r="BD164" t="s">
        <v>74</v>
      </c>
      <c r="BE164" t="s">
        <v>2322</v>
      </c>
      <c r="BF164" t="str">
        <f>HYPERLINK("http://dx.doi.org/10.3189/172756501781832052","http://dx.doi.org/10.3189/172756501781832052")</f>
        <v>http://dx.doi.org/10.3189/172756501781832052</v>
      </c>
      <c r="BG164" t="s">
        <v>74</v>
      </c>
      <c r="BH164" t="s">
        <v>74</v>
      </c>
      <c r="BI164">
        <v>8</v>
      </c>
      <c r="BJ164" t="s">
        <v>1214</v>
      </c>
      <c r="BK164" t="s">
        <v>94</v>
      </c>
      <c r="BL164" t="s">
        <v>1215</v>
      </c>
      <c r="BM164" t="s">
        <v>2293</v>
      </c>
      <c r="BN164" t="s">
        <v>74</v>
      </c>
      <c r="BO164" t="s">
        <v>2294</v>
      </c>
      <c r="BP164" t="s">
        <v>74</v>
      </c>
      <c r="BQ164" t="s">
        <v>74</v>
      </c>
      <c r="BR164" t="s">
        <v>97</v>
      </c>
      <c r="BS164" t="s">
        <v>2323</v>
      </c>
      <c r="BT164" t="str">
        <f>HYPERLINK("https%3A%2F%2Fwww.webofscience.com%2Fwos%2Fwoscc%2Ffull-record%2FWOS:000173872500009","View Full Record in Web of Science")</f>
        <v>View Full Record in Web of Science</v>
      </c>
    </row>
    <row r="165" spans="1:72" x14ac:dyDescent="0.15">
      <c r="A165" t="s">
        <v>72</v>
      </c>
      <c r="B165" t="s">
        <v>2324</v>
      </c>
      <c r="C165" t="s">
        <v>74</v>
      </c>
      <c r="D165" t="s">
        <v>74</v>
      </c>
      <c r="E165" t="s">
        <v>74</v>
      </c>
      <c r="F165" t="s">
        <v>2324</v>
      </c>
      <c r="G165" t="s">
        <v>74</v>
      </c>
      <c r="H165" t="s">
        <v>74</v>
      </c>
      <c r="I165" t="s">
        <v>2325</v>
      </c>
      <c r="J165" t="s">
        <v>2168</v>
      </c>
      <c r="K165" t="s">
        <v>74</v>
      </c>
      <c r="L165" t="s">
        <v>74</v>
      </c>
      <c r="M165" t="s">
        <v>77</v>
      </c>
      <c r="N165" t="s">
        <v>78</v>
      </c>
      <c r="O165" t="s">
        <v>74</v>
      </c>
      <c r="P165" t="s">
        <v>74</v>
      </c>
      <c r="Q165" t="s">
        <v>74</v>
      </c>
      <c r="R165" t="s">
        <v>74</v>
      </c>
      <c r="S165" t="s">
        <v>74</v>
      </c>
      <c r="T165" t="s">
        <v>74</v>
      </c>
      <c r="U165" t="s">
        <v>2326</v>
      </c>
      <c r="V165" t="s">
        <v>2327</v>
      </c>
      <c r="W165" t="s">
        <v>2328</v>
      </c>
      <c r="X165" t="s">
        <v>2329</v>
      </c>
      <c r="Y165" t="s">
        <v>2330</v>
      </c>
      <c r="Z165" t="s">
        <v>74</v>
      </c>
      <c r="AA165" t="s">
        <v>2331</v>
      </c>
      <c r="AB165" t="s">
        <v>74</v>
      </c>
      <c r="AC165" t="s">
        <v>74</v>
      </c>
      <c r="AD165" t="s">
        <v>74</v>
      </c>
      <c r="AE165" t="s">
        <v>74</v>
      </c>
      <c r="AF165" t="s">
        <v>74</v>
      </c>
      <c r="AG165">
        <v>59</v>
      </c>
      <c r="AH165">
        <v>11</v>
      </c>
      <c r="AI165">
        <v>16</v>
      </c>
      <c r="AJ165">
        <v>1</v>
      </c>
      <c r="AK165">
        <v>2</v>
      </c>
      <c r="AL165" t="s">
        <v>108</v>
      </c>
      <c r="AM165" t="s">
        <v>109</v>
      </c>
      <c r="AN165" t="s">
        <v>2192</v>
      </c>
      <c r="AO165" t="s">
        <v>2178</v>
      </c>
      <c r="AP165" t="s">
        <v>2193</v>
      </c>
      <c r="AQ165" t="s">
        <v>74</v>
      </c>
      <c r="AR165" t="s">
        <v>2179</v>
      </c>
      <c r="AS165" t="s">
        <v>2180</v>
      </c>
      <c r="AT165" t="s">
        <v>74</v>
      </c>
      <c r="AU165">
        <v>2001</v>
      </c>
      <c r="AV165">
        <v>47</v>
      </c>
      <c r="AW165">
        <v>158</v>
      </c>
      <c r="AX165" t="s">
        <v>74</v>
      </c>
      <c r="AY165" t="s">
        <v>74</v>
      </c>
      <c r="AZ165" t="s">
        <v>74</v>
      </c>
      <c r="BA165" t="s">
        <v>74</v>
      </c>
      <c r="BB165">
        <v>489</v>
      </c>
      <c r="BC165">
        <v>496</v>
      </c>
      <c r="BD165" t="s">
        <v>74</v>
      </c>
      <c r="BE165" t="s">
        <v>2332</v>
      </c>
      <c r="BF165" t="str">
        <f>HYPERLINK("http://dx.doi.org/10.3189/172756501781832070","http://dx.doi.org/10.3189/172756501781832070")</f>
        <v>http://dx.doi.org/10.3189/172756501781832070</v>
      </c>
      <c r="BG165" t="s">
        <v>74</v>
      </c>
      <c r="BH165" t="s">
        <v>74</v>
      </c>
      <c r="BI165">
        <v>8</v>
      </c>
      <c r="BJ165" t="s">
        <v>1214</v>
      </c>
      <c r="BK165" t="s">
        <v>94</v>
      </c>
      <c r="BL165" t="s">
        <v>1215</v>
      </c>
      <c r="BM165" t="s">
        <v>2293</v>
      </c>
      <c r="BN165" t="s">
        <v>74</v>
      </c>
      <c r="BO165" t="s">
        <v>2294</v>
      </c>
      <c r="BP165" t="s">
        <v>74</v>
      </c>
      <c r="BQ165" t="s">
        <v>74</v>
      </c>
      <c r="BR165" t="s">
        <v>97</v>
      </c>
      <c r="BS165" t="s">
        <v>2333</v>
      </c>
      <c r="BT165" t="str">
        <f>HYPERLINK("https%3A%2F%2Fwww.webofscience.com%2Fwos%2Fwoscc%2Ffull-record%2FWOS:000173872500015","View Full Record in Web of Science")</f>
        <v>View Full Record in Web of Science</v>
      </c>
    </row>
    <row r="166" spans="1:72" x14ac:dyDescent="0.15">
      <c r="A166" t="s">
        <v>72</v>
      </c>
      <c r="B166" t="s">
        <v>2334</v>
      </c>
      <c r="C166" t="s">
        <v>74</v>
      </c>
      <c r="D166" t="s">
        <v>74</v>
      </c>
      <c r="E166" t="s">
        <v>74</v>
      </c>
      <c r="F166" t="s">
        <v>2334</v>
      </c>
      <c r="G166" t="s">
        <v>74</v>
      </c>
      <c r="H166" t="s">
        <v>74</v>
      </c>
      <c r="I166" t="s">
        <v>2335</v>
      </c>
      <c r="J166" t="s">
        <v>2168</v>
      </c>
      <c r="K166" t="s">
        <v>74</v>
      </c>
      <c r="L166" t="s">
        <v>74</v>
      </c>
      <c r="M166" t="s">
        <v>77</v>
      </c>
      <c r="N166" t="s">
        <v>78</v>
      </c>
      <c r="O166" t="s">
        <v>74</v>
      </c>
      <c r="P166" t="s">
        <v>74</v>
      </c>
      <c r="Q166" t="s">
        <v>74</v>
      </c>
      <c r="R166" t="s">
        <v>74</v>
      </c>
      <c r="S166" t="s">
        <v>74</v>
      </c>
      <c r="T166" t="s">
        <v>74</v>
      </c>
      <c r="U166" t="s">
        <v>2336</v>
      </c>
      <c r="V166" t="s">
        <v>2337</v>
      </c>
      <c r="W166" t="s">
        <v>2338</v>
      </c>
      <c r="X166" t="s">
        <v>2339</v>
      </c>
      <c r="Y166" t="s">
        <v>2340</v>
      </c>
      <c r="Z166" t="s">
        <v>74</v>
      </c>
      <c r="AA166" t="s">
        <v>2331</v>
      </c>
      <c r="AB166" t="s">
        <v>74</v>
      </c>
      <c r="AC166" t="s">
        <v>74</v>
      </c>
      <c r="AD166" t="s">
        <v>74</v>
      </c>
      <c r="AE166" t="s">
        <v>74</v>
      </c>
      <c r="AF166" t="s">
        <v>74</v>
      </c>
      <c r="AG166">
        <v>28</v>
      </c>
      <c r="AH166">
        <v>1</v>
      </c>
      <c r="AI166">
        <v>4</v>
      </c>
      <c r="AJ166">
        <v>0</v>
      </c>
      <c r="AK166">
        <v>2</v>
      </c>
      <c r="AL166" t="s">
        <v>2176</v>
      </c>
      <c r="AM166" t="s">
        <v>109</v>
      </c>
      <c r="AN166" t="s">
        <v>2177</v>
      </c>
      <c r="AO166" t="s">
        <v>2178</v>
      </c>
      <c r="AP166" t="s">
        <v>74</v>
      </c>
      <c r="AQ166" t="s">
        <v>74</v>
      </c>
      <c r="AR166" t="s">
        <v>2179</v>
      </c>
      <c r="AS166" t="s">
        <v>2180</v>
      </c>
      <c r="AT166" t="s">
        <v>74</v>
      </c>
      <c r="AU166">
        <v>2001</v>
      </c>
      <c r="AV166">
        <v>47</v>
      </c>
      <c r="AW166">
        <v>159</v>
      </c>
      <c r="AX166" t="s">
        <v>74</v>
      </c>
      <c r="AY166" t="s">
        <v>74</v>
      </c>
      <c r="AZ166" t="s">
        <v>74</v>
      </c>
      <c r="BA166" t="s">
        <v>74</v>
      </c>
      <c r="BB166">
        <v>589</v>
      </c>
      <c r="BC166">
        <v>594</v>
      </c>
      <c r="BD166" t="s">
        <v>74</v>
      </c>
      <c r="BE166" t="s">
        <v>74</v>
      </c>
      <c r="BF166" t="s">
        <v>74</v>
      </c>
      <c r="BG166" t="s">
        <v>74</v>
      </c>
      <c r="BH166" t="s">
        <v>74</v>
      </c>
      <c r="BI166">
        <v>6</v>
      </c>
      <c r="BJ166" t="s">
        <v>1214</v>
      </c>
      <c r="BK166" t="s">
        <v>94</v>
      </c>
      <c r="BL166" t="s">
        <v>1215</v>
      </c>
      <c r="BM166" t="s">
        <v>2341</v>
      </c>
      <c r="BN166" t="s">
        <v>74</v>
      </c>
      <c r="BO166" t="s">
        <v>74</v>
      </c>
      <c r="BP166" t="s">
        <v>74</v>
      </c>
      <c r="BQ166" t="s">
        <v>74</v>
      </c>
      <c r="BR166" t="s">
        <v>97</v>
      </c>
      <c r="BS166" t="s">
        <v>2342</v>
      </c>
      <c r="BT166" t="str">
        <f>HYPERLINK("https%3A%2F%2Fwww.webofscience.com%2Fwos%2Fwoscc%2Ffull-record%2FWOS:000175252600007","View Full Record in Web of Science")</f>
        <v>View Full Record in Web of Science</v>
      </c>
    </row>
    <row r="167" spans="1:72" x14ac:dyDescent="0.15">
      <c r="A167" t="s">
        <v>72</v>
      </c>
      <c r="B167" t="s">
        <v>2343</v>
      </c>
      <c r="C167" t="s">
        <v>74</v>
      </c>
      <c r="D167" t="s">
        <v>74</v>
      </c>
      <c r="E167" t="s">
        <v>74</v>
      </c>
      <c r="F167" t="s">
        <v>2343</v>
      </c>
      <c r="G167" t="s">
        <v>74</v>
      </c>
      <c r="H167" t="s">
        <v>74</v>
      </c>
      <c r="I167" t="s">
        <v>2344</v>
      </c>
      <c r="J167" t="s">
        <v>2168</v>
      </c>
      <c r="K167" t="s">
        <v>74</v>
      </c>
      <c r="L167" t="s">
        <v>74</v>
      </c>
      <c r="M167" t="s">
        <v>77</v>
      </c>
      <c r="N167" t="s">
        <v>78</v>
      </c>
      <c r="O167" t="s">
        <v>74</v>
      </c>
      <c r="P167" t="s">
        <v>74</v>
      </c>
      <c r="Q167" t="s">
        <v>74</v>
      </c>
      <c r="R167" t="s">
        <v>74</v>
      </c>
      <c r="S167" t="s">
        <v>74</v>
      </c>
      <c r="T167" t="s">
        <v>74</v>
      </c>
      <c r="U167" t="s">
        <v>2345</v>
      </c>
      <c r="V167" t="s">
        <v>2346</v>
      </c>
      <c r="W167" t="s">
        <v>2347</v>
      </c>
      <c r="X167" t="s">
        <v>2348</v>
      </c>
      <c r="Y167" t="s">
        <v>2349</v>
      </c>
      <c r="Z167" t="s">
        <v>74</v>
      </c>
      <c r="AA167" t="s">
        <v>2350</v>
      </c>
      <c r="AB167" t="s">
        <v>2351</v>
      </c>
      <c r="AC167" t="s">
        <v>74</v>
      </c>
      <c r="AD167" t="s">
        <v>74</v>
      </c>
      <c r="AE167" t="s">
        <v>74</v>
      </c>
      <c r="AF167" t="s">
        <v>74</v>
      </c>
      <c r="AG167">
        <v>56</v>
      </c>
      <c r="AH167">
        <v>107</v>
      </c>
      <c r="AI167">
        <v>116</v>
      </c>
      <c r="AJ167">
        <v>0</v>
      </c>
      <c r="AK167">
        <v>19</v>
      </c>
      <c r="AL167" t="s">
        <v>108</v>
      </c>
      <c r="AM167" t="s">
        <v>109</v>
      </c>
      <c r="AN167" t="s">
        <v>2192</v>
      </c>
      <c r="AO167" t="s">
        <v>2178</v>
      </c>
      <c r="AP167" t="s">
        <v>2193</v>
      </c>
      <c r="AQ167" t="s">
        <v>74</v>
      </c>
      <c r="AR167" t="s">
        <v>2179</v>
      </c>
      <c r="AS167" t="s">
        <v>2180</v>
      </c>
      <c r="AT167" t="s">
        <v>74</v>
      </c>
      <c r="AU167">
        <v>2001</v>
      </c>
      <c r="AV167">
        <v>47</v>
      </c>
      <c r="AW167">
        <v>159</v>
      </c>
      <c r="AX167" t="s">
        <v>74</v>
      </c>
      <c r="AY167" t="s">
        <v>74</v>
      </c>
      <c r="AZ167" t="s">
        <v>74</v>
      </c>
      <c r="BA167" t="s">
        <v>74</v>
      </c>
      <c r="BB167">
        <v>613</v>
      </c>
      <c r="BC167">
        <v>625</v>
      </c>
      <c r="BD167" t="s">
        <v>74</v>
      </c>
      <c r="BE167" t="s">
        <v>2352</v>
      </c>
      <c r="BF167" t="str">
        <f>HYPERLINK("http://dx.doi.org/10.3189/172756501781831864","http://dx.doi.org/10.3189/172756501781831864")</f>
        <v>http://dx.doi.org/10.3189/172756501781831864</v>
      </c>
      <c r="BG167" t="s">
        <v>74</v>
      </c>
      <c r="BH167" t="s">
        <v>74</v>
      </c>
      <c r="BI167">
        <v>13</v>
      </c>
      <c r="BJ167" t="s">
        <v>1214</v>
      </c>
      <c r="BK167" t="s">
        <v>94</v>
      </c>
      <c r="BL167" t="s">
        <v>1215</v>
      </c>
      <c r="BM167" t="s">
        <v>2341</v>
      </c>
      <c r="BN167" t="s">
        <v>74</v>
      </c>
      <c r="BO167" t="s">
        <v>2294</v>
      </c>
      <c r="BP167" t="s">
        <v>74</v>
      </c>
      <c r="BQ167" t="s">
        <v>74</v>
      </c>
      <c r="BR167" t="s">
        <v>97</v>
      </c>
      <c r="BS167" t="s">
        <v>2353</v>
      </c>
      <c r="BT167" t="str">
        <f>HYPERLINK("https%3A%2F%2Fwww.webofscience.com%2Fwos%2Fwoscc%2Ffull-record%2FWOS:000175252600010","View Full Record in Web of Science")</f>
        <v>View Full Record in Web of Science</v>
      </c>
    </row>
    <row r="168" spans="1:72" x14ac:dyDescent="0.15">
      <c r="A168" t="s">
        <v>72</v>
      </c>
      <c r="B168" t="s">
        <v>2354</v>
      </c>
      <c r="C168" t="s">
        <v>74</v>
      </c>
      <c r="D168" t="s">
        <v>74</v>
      </c>
      <c r="E168" t="s">
        <v>74</v>
      </c>
      <c r="F168" t="s">
        <v>2354</v>
      </c>
      <c r="G168" t="s">
        <v>74</v>
      </c>
      <c r="H168" t="s">
        <v>74</v>
      </c>
      <c r="I168" t="s">
        <v>2355</v>
      </c>
      <c r="J168" t="s">
        <v>2356</v>
      </c>
      <c r="K168" t="s">
        <v>74</v>
      </c>
      <c r="L168" t="s">
        <v>74</v>
      </c>
      <c r="M168" t="s">
        <v>77</v>
      </c>
      <c r="N168" t="s">
        <v>78</v>
      </c>
      <c r="O168" t="s">
        <v>74</v>
      </c>
      <c r="P168" t="s">
        <v>74</v>
      </c>
      <c r="Q168" t="s">
        <v>74</v>
      </c>
      <c r="R168" t="s">
        <v>74</v>
      </c>
      <c r="S168" t="s">
        <v>74</v>
      </c>
      <c r="T168" t="s">
        <v>2357</v>
      </c>
      <c r="U168" t="s">
        <v>2358</v>
      </c>
      <c r="V168" t="s">
        <v>2359</v>
      </c>
      <c r="W168" t="s">
        <v>2360</v>
      </c>
      <c r="X168" t="s">
        <v>2361</v>
      </c>
      <c r="Y168" t="s">
        <v>2362</v>
      </c>
      <c r="Z168" t="s">
        <v>2363</v>
      </c>
      <c r="AA168" t="s">
        <v>887</v>
      </c>
      <c r="AB168" t="s">
        <v>2364</v>
      </c>
      <c r="AC168" t="s">
        <v>74</v>
      </c>
      <c r="AD168" t="s">
        <v>74</v>
      </c>
      <c r="AE168" t="s">
        <v>74</v>
      </c>
      <c r="AF168" t="s">
        <v>74</v>
      </c>
      <c r="AG168">
        <v>31</v>
      </c>
      <c r="AH168">
        <v>27</v>
      </c>
      <c r="AI168">
        <v>29</v>
      </c>
      <c r="AJ168">
        <v>0</v>
      </c>
      <c r="AK168">
        <v>10</v>
      </c>
      <c r="AL168" t="s">
        <v>245</v>
      </c>
      <c r="AM168" t="s">
        <v>246</v>
      </c>
      <c r="AN168" t="s">
        <v>247</v>
      </c>
      <c r="AO168" t="s">
        <v>2365</v>
      </c>
      <c r="AP168" t="s">
        <v>2366</v>
      </c>
      <c r="AQ168" t="s">
        <v>74</v>
      </c>
      <c r="AR168" t="s">
        <v>2367</v>
      </c>
      <c r="AS168" t="s">
        <v>2368</v>
      </c>
      <c r="AT168" t="s">
        <v>91</v>
      </c>
      <c r="AU168">
        <v>2001</v>
      </c>
      <c r="AV168">
        <v>47</v>
      </c>
      <c r="AW168">
        <v>1</v>
      </c>
      <c r="AX168" t="s">
        <v>74</v>
      </c>
      <c r="AY168" t="s">
        <v>74</v>
      </c>
      <c r="AZ168" t="s">
        <v>74</v>
      </c>
      <c r="BA168" t="s">
        <v>74</v>
      </c>
      <c r="BB168">
        <v>11</v>
      </c>
      <c r="BC168">
        <v>18</v>
      </c>
      <c r="BD168" t="s">
        <v>74</v>
      </c>
      <c r="BE168" t="s">
        <v>2369</v>
      </c>
      <c r="BF168" t="str">
        <f>HYPERLINK("http://dx.doi.org/10.1016/S0022-1910(00)00088-3","http://dx.doi.org/10.1016/S0022-1910(00)00088-3")</f>
        <v>http://dx.doi.org/10.1016/S0022-1910(00)00088-3</v>
      </c>
      <c r="BG168" t="s">
        <v>74</v>
      </c>
      <c r="BH168" t="s">
        <v>74</v>
      </c>
      <c r="BI168">
        <v>8</v>
      </c>
      <c r="BJ168" t="s">
        <v>2370</v>
      </c>
      <c r="BK168" t="s">
        <v>94</v>
      </c>
      <c r="BL168" t="s">
        <v>2370</v>
      </c>
      <c r="BM168" t="s">
        <v>2371</v>
      </c>
      <c r="BN168">
        <v>11033163</v>
      </c>
      <c r="BO168" t="s">
        <v>74</v>
      </c>
      <c r="BP168" t="s">
        <v>74</v>
      </c>
      <c r="BQ168" t="s">
        <v>74</v>
      </c>
      <c r="BR168" t="s">
        <v>97</v>
      </c>
      <c r="BS168" t="s">
        <v>2372</v>
      </c>
      <c r="BT168" t="str">
        <f>HYPERLINK("https%3A%2F%2Fwww.webofscience.com%2Fwos%2Fwoscc%2Ffull-record%2FWOS:000165361100002","View Full Record in Web of Science")</f>
        <v>View Full Record in Web of Science</v>
      </c>
    </row>
    <row r="169" spans="1:72" x14ac:dyDescent="0.15">
      <c r="A169" t="s">
        <v>72</v>
      </c>
      <c r="B169" t="s">
        <v>2373</v>
      </c>
      <c r="C169" t="s">
        <v>74</v>
      </c>
      <c r="D169" t="s">
        <v>74</v>
      </c>
      <c r="E169" t="s">
        <v>74</v>
      </c>
      <c r="F169" t="s">
        <v>2373</v>
      </c>
      <c r="G169" t="s">
        <v>74</v>
      </c>
      <c r="H169" t="s">
        <v>74</v>
      </c>
      <c r="I169" t="s">
        <v>2374</v>
      </c>
      <c r="J169" t="s">
        <v>2356</v>
      </c>
      <c r="K169" t="s">
        <v>74</v>
      </c>
      <c r="L169" t="s">
        <v>74</v>
      </c>
      <c r="M169" t="s">
        <v>77</v>
      </c>
      <c r="N169" t="s">
        <v>78</v>
      </c>
      <c r="O169" t="s">
        <v>74</v>
      </c>
      <c r="P169" t="s">
        <v>74</v>
      </c>
      <c r="Q169" t="s">
        <v>74</v>
      </c>
      <c r="R169" t="s">
        <v>74</v>
      </c>
      <c r="S169" t="s">
        <v>74</v>
      </c>
      <c r="T169" t="s">
        <v>2375</v>
      </c>
      <c r="U169" t="s">
        <v>2376</v>
      </c>
      <c r="V169" t="s">
        <v>2377</v>
      </c>
      <c r="W169" t="s">
        <v>2378</v>
      </c>
      <c r="X169" t="s">
        <v>2379</v>
      </c>
      <c r="Y169" t="s">
        <v>2380</v>
      </c>
      <c r="Z169" t="s">
        <v>2381</v>
      </c>
      <c r="AA169" t="s">
        <v>2382</v>
      </c>
      <c r="AB169" t="s">
        <v>74</v>
      </c>
      <c r="AC169" t="s">
        <v>74</v>
      </c>
      <c r="AD169" t="s">
        <v>74</v>
      </c>
      <c r="AE169" t="s">
        <v>74</v>
      </c>
      <c r="AF169" t="s">
        <v>74</v>
      </c>
      <c r="AG169">
        <v>74</v>
      </c>
      <c r="AH169">
        <v>54</v>
      </c>
      <c r="AI169">
        <v>61</v>
      </c>
      <c r="AJ169">
        <v>3</v>
      </c>
      <c r="AK169">
        <v>26</v>
      </c>
      <c r="AL169" t="s">
        <v>245</v>
      </c>
      <c r="AM169" t="s">
        <v>246</v>
      </c>
      <c r="AN169" t="s">
        <v>247</v>
      </c>
      <c r="AO169" t="s">
        <v>2365</v>
      </c>
      <c r="AP169" t="s">
        <v>2366</v>
      </c>
      <c r="AQ169" t="s">
        <v>74</v>
      </c>
      <c r="AR169" t="s">
        <v>2367</v>
      </c>
      <c r="AS169" t="s">
        <v>2368</v>
      </c>
      <c r="AT169" t="s">
        <v>91</v>
      </c>
      <c r="AU169">
        <v>2001</v>
      </c>
      <c r="AV169">
        <v>47</v>
      </c>
      <c r="AW169">
        <v>1</v>
      </c>
      <c r="AX169" t="s">
        <v>74</v>
      </c>
      <c r="AY169" t="s">
        <v>74</v>
      </c>
      <c r="AZ169" t="s">
        <v>74</v>
      </c>
      <c r="BA169" t="s">
        <v>74</v>
      </c>
      <c r="BB169">
        <v>95</v>
      </c>
      <c r="BC169">
        <v>109</v>
      </c>
      <c r="BD169" t="s">
        <v>74</v>
      </c>
      <c r="BE169" t="s">
        <v>2383</v>
      </c>
      <c r="BF169" t="str">
        <f>HYPERLINK("http://dx.doi.org/10.1016/S0022-1910(00)00087-1","http://dx.doi.org/10.1016/S0022-1910(00)00087-1")</f>
        <v>http://dx.doi.org/10.1016/S0022-1910(00)00087-1</v>
      </c>
      <c r="BG169" t="s">
        <v>74</v>
      </c>
      <c r="BH169" t="s">
        <v>74</v>
      </c>
      <c r="BI169">
        <v>15</v>
      </c>
      <c r="BJ169" t="s">
        <v>2370</v>
      </c>
      <c r="BK169" t="s">
        <v>94</v>
      </c>
      <c r="BL169" t="s">
        <v>2370</v>
      </c>
      <c r="BM169" t="s">
        <v>2371</v>
      </c>
      <c r="BN169">
        <v>11033171</v>
      </c>
      <c r="BO169" t="s">
        <v>74</v>
      </c>
      <c r="BP169" t="s">
        <v>74</v>
      </c>
      <c r="BQ169" t="s">
        <v>74</v>
      </c>
      <c r="BR169" t="s">
        <v>97</v>
      </c>
      <c r="BS169" t="s">
        <v>2384</v>
      </c>
      <c r="BT169" t="str">
        <f>HYPERLINK("https%3A%2F%2Fwww.webofscience.com%2Fwos%2Fwoscc%2Ffull-record%2FWOS:000165361100010","View Full Record in Web of Science")</f>
        <v>View Full Record in Web of Science</v>
      </c>
    </row>
    <row r="170" spans="1:72" x14ac:dyDescent="0.15">
      <c r="A170" t="s">
        <v>72</v>
      </c>
      <c r="B170" t="s">
        <v>2385</v>
      </c>
      <c r="C170" t="s">
        <v>74</v>
      </c>
      <c r="D170" t="s">
        <v>74</v>
      </c>
      <c r="E170" t="s">
        <v>74</v>
      </c>
      <c r="F170" t="s">
        <v>2385</v>
      </c>
      <c r="G170" t="s">
        <v>74</v>
      </c>
      <c r="H170" t="s">
        <v>74</v>
      </c>
      <c r="I170" t="s">
        <v>2386</v>
      </c>
      <c r="J170" t="s">
        <v>2387</v>
      </c>
      <c r="K170" t="s">
        <v>74</v>
      </c>
      <c r="L170" t="s">
        <v>74</v>
      </c>
      <c r="M170" t="s">
        <v>77</v>
      </c>
      <c r="N170" t="s">
        <v>78</v>
      </c>
      <c r="O170" t="s">
        <v>74</v>
      </c>
      <c r="P170" t="s">
        <v>74</v>
      </c>
      <c r="Q170" t="s">
        <v>74</v>
      </c>
      <c r="R170" t="s">
        <v>74</v>
      </c>
      <c r="S170" t="s">
        <v>74</v>
      </c>
      <c r="T170" t="s">
        <v>2388</v>
      </c>
      <c r="U170" t="s">
        <v>2389</v>
      </c>
      <c r="V170" t="s">
        <v>2390</v>
      </c>
      <c r="W170" t="s">
        <v>885</v>
      </c>
      <c r="X170" t="s">
        <v>221</v>
      </c>
      <c r="Y170" t="s">
        <v>2391</v>
      </c>
      <c r="Z170" t="s">
        <v>74</v>
      </c>
      <c r="AA170" t="s">
        <v>2392</v>
      </c>
      <c r="AB170" t="s">
        <v>2393</v>
      </c>
      <c r="AC170" t="s">
        <v>74</v>
      </c>
      <c r="AD170" t="s">
        <v>74</v>
      </c>
      <c r="AE170" t="s">
        <v>74</v>
      </c>
      <c r="AF170" t="s">
        <v>74</v>
      </c>
      <c r="AG170">
        <v>26</v>
      </c>
      <c r="AH170">
        <v>20</v>
      </c>
      <c r="AI170">
        <v>26</v>
      </c>
      <c r="AJ170">
        <v>0</v>
      </c>
      <c r="AK170">
        <v>8</v>
      </c>
      <c r="AL170" t="s">
        <v>1120</v>
      </c>
      <c r="AM170" t="s">
        <v>1121</v>
      </c>
      <c r="AN170" t="s">
        <v>2394</v>
      </c>
      <c r="AO170" t="s">
        <v>2395</v>
      </c>
      <c r="AP170" t="s">
        <v>74</v>
      </c>
      <c r="AQ170" t="s">
        <v>74</v>
      </c>
      <c r="AR170" t="s">
        <v>2396</v>
      </c>
      <c r="AS170" t="s">
        <v>2397</v>
      </c>
      <c r="AT170" t="s">
        <v>91</v>
      </c>
      <c r="AU170">
        <v>2001</v>
      </c>
      <c r="AV170">
        <v>27</v>
      </c>
      <c r="AW170">
        <v>4</v>
      </c>
      <c r="AX170" t="s">
        <v>74</v>
      </c>
      <c r="AY170" t="s">
        <v>74</v>
      </c>
      <c r="AZ170" t="s">
        <v>74</v>
      </c>
      <c r="BA170" t="s">
        <v>74</v>
      </c>
      <c r="BB170">
        <v>277</v>
      </c>
      <c r="BC170">
        <v>288</v>
      </c>
      <c r="BD170" t="s">
        <v>74</v>
      </c>
      <c r="BE170" t="s">
        <v>2398</v>
      </c>
      <c r="BF170" t="str">
        <f>HYPERLINK("http://dx.doi.org/10.1016/S0924-7963(00)00073-7","http://dx.doi.org/10.1016/S0924-7963(00)00073-7")</f>
        <v>http://dx.doi.org/10.1016/S0924-7963(00)00073-7</v>
      </c>
      <c r="BG170" t="s">
        <v>74</v>
      </c>
      <c r="BH170" t="s">
        <v>74</v>
      </c>
      <c r="BI170">
        <v>12</v>
      </c>
      <c r="BJ170" t="s">
        <v>2399</v>
      </c>
      <c r="BK170" t="s">
        <v>94</v>
      </c>
      <c r="BL170" t="s">
        <v>2400</v>
      </c>
      <c r="BM170" t="s">
        <v>2401</v>
      </c>
      <c r="BN170" t="s">
        <v>74</v>
      </c>
      <c r="BO170" t="s">
        <v>74</v>
      </c>
      <c r="BP170" t="s">
        <v>74</v>
      </c>
      <c r="BQ170" t="s">
        <v>74</v>
      </c>
      <c r="BR170" t="s">
        <v>97</v>
      </c>
      <c r="BS170" t="s">
        <v>2402</v>
      </c>
      <c r="BT170" t="str">
        <f>HYPERLINK("https%3A%2F%2Fwww.webofscience.com%2Fwos%2Fwoscc%2Ffull-record%2FWOS:000166652200001","View Full Record in Web of Science")</f>
        <v>View Full Record in Web of Science</v>
      </c>
    </row>
    <row r="171" spans="1:72" x14ac:dyDescent="0.15">
      <c r="A171" t="s">
        <v>72</v>
      </c>
      <c r="B171" t="s">
        <v>2403</v>
      </c>
      <c r="C171" t="s">
        <v>74</v>
      </c>
      <c r="D171" t="s">
        <v>74</v>
      </c>
      <c r="E171" t="s">
        <v>74</v>
      </c>
      <c r="F171" t="s">
        <v>2403</v>
      </c>
      <c r="G171" t="s">
        <v>74</v>
      </c>
      <c r="H171" t="s">
        <v>74</v>
      </c>
      <c r="I171" t="s">
        <v>2404</v>
      </c>
      <c r="J171" t="s">
        <v>2387</v>
      </c>
      <c r="K171" t="s">
        <v>74</v>
      </c>
      <c r="L171" t="s">
        <v>74</v>
      </c>
      <c r="M171" t="s">
        <v>77</v>
      </c>
      <c r="N171" t="s">
        <v>78</v>
      </c>
      <c r="O171" t="s">
        <v>74</v>
      </c>
      <c r="P171" t="s">
        <v>74</v>
      </c>
      <c r="Q171" t="s">
        <v>74</v>
      </c>
      <c r="R171" t="s">
        <v>74</v>
      </c>
      <c r="S171" t="s">
        <v>74</v>
      </c>
      <c r="T171" t="s">
        <v>2405</v>
      </c>
      <c r="U171" t="s">
        <v>2406</v>
      </c>
      <c r="V171" t="s">
        <v>2407</v>
      </c>
      <c r="W171" t="s">
        <v>2408</v>
      </c>
      <c r="X171" t="s">
        <v>2409</v>
      </c>
      <c r="Y171" t="s">
        <v>2410</v>
      </c>
      <c r="Z171" t="s">
        <v>74</v>
      </c>
      <c r="AA171" t="s">
        <v>2411</v>
      </c>
      <c r="AB171" t="s">
        <v>2412</v>
      </c>
      <c r="AC171" t="s">
        <v>74</v>
      </c>
      <c r="AD171" t="s">
        <v>74</v>
      </c>
      <c r="AE171" t="s">
        <v>74</v>
      </c>
      <c r="AF171" t="s">
        <v>74</v>
      </c>
      <c r="AG171">
        <v>47</v>
      </c>
      <c r="AH171">
        <v>35</v>
      </c>
      <c r="AI171">
        <v>35</v>
      </c>
      <c r="AJ171">
        <v>0</v>
      </c>
      <c r="AK171">
        <v>17</v>
      </c>
      <c r="AL171" t="s">
        <v>1120</v>
      </c>
      <c r="AM171" t="s">
        <v>1121</v>
      </c>
      <c r="AN171" t="s">
        <v>2394</v>
      </c>
      <c r="AO171" t="s">
        <v>2395</v>
      </c>
      <c r="AP171" t="s">
        <v>74</v>
      </c>
      <c r="AQ171" t="s">
        <v>74</v>
      </c>
      <c r="AR171" t="s">
        <v>2396</v>
      </c>
      <c r="AS171" t="s">
        <v>2397</v>
      </c>
      <c r="AT171" t="s">
        <v>91</v>
      </c>
      <c r="AU171">
        <v>2001</v>
      </c>
      <c r="AV171">
        <v>27</v>
      </c>
      <c r="AW171">
        <v>4</v>
      </c>
      <c r="AX171" t="s">
        <v>74</v>
      </c>
      <c r="AY171" t="s">
        <v>74</v>
      </c>
      <c r="AZ171" t="s">
        <v>74</v>
      </c>
      <c r="BA171" t="s">
        <v>74</v>
      </c>
      <c r="BB171">
        <v>325</v>
      </c>
      <c r="BC171">
        <v>336</v>
      </c>
      <c r="BD171" t="s">
        <v>74</v>
      </c>
      <c r="BE171" t="s">
        <v>2413</v>
      </c>
      <c r="BF171" t="str">
        <f>HYPERLINK("http://dx.doi.org/10.1016/S0924-7963(00)00077-4","http://dx.doi.org/10.1016/S0924-7963(00)00077-4")</f>
        <v>http://dx.doi.org/10.1016/S0924-7963(00)00077-4</v>
      </c>
      <c r="BG171" t="s">
        <v>74</v>
      </c>
      <c r="BH171" t="s">
        <v>74</v>
      </c>
      <c r="BI171">
        <v>12</v>
      </c>
      <c r="BJ171" t="s">
        <v>2399</v>
      </c>
      <c r="BK171" t="s">
        <v>94</v>
      </c>
      <c r="BL171" t="s">
        <v>2400</v>
      </c>
      <c r="BM171" t="s">
        <v>2401</v>
      </c>
      <c r="BN171" t="s">
        <v>74</v>
      </c>
      <c r="BO171" t="s">
        <v>74</v>
      </c>
      <c r="BP171" t="s">
        <v>74</v>
      </c>
      <c r="BQ171" t="s">
        <v>74</v>
      </c>
      <c r="BR171" t="s">
        <v>97</v>
      </c>
      <c r="BS171" t="s">
        <v>2414</v>
      </c>
      <c r="BT171" t="str">
        <f>HYPERLINK("https%3A%2F%2Fwww.webofscience.com%2Fwos%2Fwoscc%2Ffull-record%2FWOS:000166652200005","View Full Record in Web of Science")</f>
        <v>View Full Record in Web of Science</v>
      </c>
    </row>
    <row r="172" spans="1:72" x14ac:dyDescent="0.15">
      <c r="A172" t="s">
        <v>72</v>
      </c>
      <c r="B172" t="s">
        <v>2415</v>
      </c>
      <c r="C172" t="s">
        <v>74</v>
      </c>
      <c r="D172" t="s">
        <v>74</v>
      </c>
      <c r="E172" t="s">
        <v>74</v>
      </c>
      <c r="F172" t="s">
        <v>2415</v>
      </c>
      <c r="G172" t="s">
        <v>74</v>
      </c>
      <c r="H172" t="s">
        <v>74</v>
      </c>
      <c r="I172" t="s">
        <v>2416</v>
      </c>
      <c r="J172" t="s">
        <v>2417</v>
      </c>
      <c r="K172" t="s">
        <v>74</v>
      </c>
      <c r="L172" t="s">
        <v>74</v>
      </c>
      <c r="M172" t="s">
        <v>77</v>
      </c>
      <c r="N172" t="s">
        <v>78</v>
      </c>
      <c r="O172" t="s">
        <v>74</v>
      </c>
      <c r="P172" t="s">
        <v>74</v>
      </c>
      <c r="Q172" t="s">
        <v>74</v>
      </c>
      <c r="R172" t="s">
        <v>74</v>
      </c>
      <c r="S172" t="s">
        <v>74</v>
      </c>
      <c r="T172" t="s">
        <v>74</v>
      </c>
      <c r="U172" t="s">
        <v>2418</v>
      </c>
      <c r="V172" t="s">
        <v>2419</v>
      </c>
      <c r="W172" t="s">
        <v>2420</v>
      </c>
      <c r="X172" t="s">
        <v>2421</v>
      </c>
      <c r="Y172" t="s">
        <v>2422</v>
      </c>
      <c r="Z172" t="s">
        <v>74</v>
      </c>
      <c r="AA172" t="s">
        <v>74</v>
      </c>
      <c r="AB172" t="s">
        <v>74</v>
      </c>
      <c r="AC172" t="s">
        <v>74</v>
      </c>
      <c r="AD172" t="s">
        <v>74</v>
      </c>
      <c r="AE172" t="s">
        <v>74</v>
      </c>
      <c r="AF172" t="s">
        <v>74</v>
      </c>
      <c r="AG172">
        <v>57</v>
      </c>
      <c r="AH172">
        <v>52</v>
      </c>
      <c r="AI172">
        <v>55</v>
      </c>
      <c r="AJ172">
        <v>1</v>
      </c>
      <c r="AK172">
        <v>9</v>
      </c>
      <c r="AL172" t="s">
        <v>1842</v>
      </c>
      <c r="AM172" t="s">
        <v>1843</v>
      </c>
      <c r="AN172" t="s">
        <v>1844</v>
      </c>
      <c r="AO172" t="s">
        <v>2423</v>
      </c>
      <c r="AP172" t="s">
        <v>74</v>
      </c>
      <c r="AQ172" t="s">
        <v>74</v>
      </c>
      <c r="AR172" t="s">
        <v>2424</v>
      </c>
      <c r="AS172" t="s">
        <v>2425</v>
      </c>
      <c r="AT172" t="s">
        <v>74</v>
      </c>
      <c r="AU172">
        <v>2001</v>
      </c>
      <c r="AV172">
        <v>31</v>
      </c>
      <c r="AW172">
        <v>1</v>
      </c>
      <c r="AX172" t="s">
        <v>74</v>
      </c>
      <c r="AY172" t="s">
        <v>74</v>
      </c>
      <c r="AZ172" t="s">
        <v>74</v>
      </c>
      <c r="BA172" t="s">
        <v>74</v>
      </c>
      <c r="BB172">
        <v>5</v>
      </c>
      <c r="BC172">
        <v>29</v>
      </c>
      <c r="BD172" t="s">
        <v>74</v>
      </c>
      <c r="BE172" t="s">
        <v>2426</v>
      </c>
      <c r="BF172" t="str">
        <f>HYPERLINK("http://dx.doi.org/10.1175/1520-0485(2001)031&lt;0005:TMOTOH&gt;2.0.CO;2","http://dx.doi.org/10.1175/1520-0485(2001)031&lt;0005:TMOTOH&gt;2.0.CO;2")</f>
        <v>http://dx.doi.org/10.1175/1520-0485(2001)031&lt;0005:TMOTOH&gt;2.0.CO;2</v>
      </c>
      <c r="BG172" t="s">
        <v>74</v>
      </c>
      <c r="BH172" t="s">
        <v>74</v>
      </c>
      <c r="BI172">
        <v>25</v>
      </c>
      <c r="BJ172" t="s">
        <v>252</v>
      </c>
      <c r="BK172" t="s">
        <v>94</v>
      </c>
      <c r="BL172" t="s">
        <v>252</v>
      </c>
      <c r="BM172" t="s">
        <v>2427</v>
      </c>
      <c r="BN172" t="s">
        <v>74</v>
      </c>
      <c r="BO172" t="s">
        <v>2428</v>
      </c>
      <c r="BP172" t="s">
        <v>74</v>
      </c>
      <c r="BQ172" t="s">
        <v>74</v>
      </c>
      <c r="BR172" t="s">
        <v>97</v>
      </c>
      <c r="BS172" t="s">
        <v>2429</v>
      </c>
      <c r="BT172" t="str">
        <f>HYPERLINK("https%3A%2F%2Fwww.webofscience.com%2Fwos%2Fwoscc%2Ffull-record%2FWOS:000166475800002","View Full Record in Web of Science")</f>
        <v>View Full Record in Web of Science</v>
      </c>
    </row>
    <row r="173" spans="1:72" x14ac:dyDescent="0.15">
      <c r="A173" t="s">
        <v>72</v>
      </c>
      <c r="B173" t="s">
        <v>2430</v>
      </c>
      <c r="C173" t="s">
        <v>74</v>
      </c>
      <c r="D173" t="s">
        <v>74</v>
      </c>
      <c r="E173" t="s">
        <v>74</v>
      </c>
      <c r="F173" t="s">
        <v>2430</v>
      </c>
      <c r="G173" t="s">
        <v>74</v>
      </c>
      <c r="H173" t="s">
        <v>74</v>
      </c>
      <c r="I173" t="s">
        <v>2431</v>
      </c>
      <c r="J173" t="s">
        <v>2417</v>
      </c>
      <c r="K173" t="s">
        <v>74</v>
      </c>
      <c r="L173" t="s">
        <v>74</v>
      </c>
      <c r="M173" t="s">
        <v>77</v>
      </c>
      <c r="N173" t="s">
        <v>236</v>
      </c>
      <c r="O173" t="s">
        <v>74</v>
      </c>
      <c r="P173" t="s">
        <v>74</v>
      </c>
      <c r="Q173" t="s">
        <v>74</v>
      </c>
      <c r="R173" t="s">
        <v>74</v>
      </c>
      <c r="S173" t="s">
        <v>74</v>
      </c>
      <c r="T173" t="s">
        <v>74</v>
      </c>
      <c r="U173" t="s">
        <v>2432</v>
      </c>
      <c r="V173" t="s">
        <v>2433</v>
      </c>
      <c r="W173" t="s">
        <v>2434</v>
      </c>
      <c r="X173" t="s">
        <v>2435</v>
      </c>
      <c r="Y173" t="s">
        <v>2436</v>
      </c>
      <c r="Z173" t="s">
        <v>74</v>
      </c>
      <c r="AA173" t="s">
        <v>2437</v>
      </c>
      <c r="AB173" t="s">
        <v>2438</v>
      </c>
      <c r="AC173" t="s">
        <v>74</v>
      </c>
      <c r="AD173" t="s">
        <v>74</v>
      </c>
      <c r="AE173" t="s">
        <v>74</v>
      </c>
      <c r="AF173" t="s">
        <v>74</v>
      </c>
      <c r="AG173">
        <v>102</v>
      </c>
      <c r="AH173">
        <v>283</v>
      </c>
      <c r="AI173">
        <v>302</v>
      </c>
      <c r="AJ173">
        <v>2</v>
      </c>
      <c r="AK173">
        <v>50</v>
      </c>
      <c r="AL173" t="s">
        <v>1842</v>
      </c>
      <c r="AM173" t="s">
        <v>1843</v>
      </c>
      <c r="AN173" t="s">
        <v>1844</v>
      </c>
      <c r="AO173" t="s">
        <v>2423</v>
      </c>
      <c r="AP173" t="s">
        <v>74</v>
      </c>
      <c r="AQ173" t="s">
        <v>74</v>
      </c>
      <c r="AR173" t="s">
        <v>2424</v>
      </c>
      <c r="AS173" t="s">
        <v>2425</v>
      </c>
      <c r="AT173" t="s">
        <v>74</v>
      </c>
      <c r="AU173">
        <v>2001</v>
      </c>
      <c r="AV173">
        <v>31</v>
      </c>
      <c r="AW173">
        <v>1</v>
      </c>
      <c r="AX173" t="s">
        <v>74</v>
      </c>
      <c r="AY173" t="s">
        <v>74</v>
      </c>
      <c r="AZ173" t="s">
        <v>74</v>
      </c>
      <c r="BA173" t="s">
        <v>74</v>
      </c>
      <c r="BB173">
        <v>143</v>
      </c>
      <c r="BC173">
        <v>173</v>
      </c>
      <c r="BD173" t="s">
        <v>74</v>
      </c>
      <c r="BE173" t="s">
        <v>2439</v>
      </c>
      <c r="BF173" t="str">
        <f>HYPERLINK("http://dx.doi.org/10.1175/1520-0485(2001)031&lt;0143:TSOLOT&gt;2.0.CO;2","http://dx.doi.org/10.1175/1520-0485(2001)031&lt;0143:TSOLOT&gt;2.0.CO;2")</f>
        <v>http://dx.doi.org/10.1175/1520-0485(2001)031&lt;0143:TSOLOT&gt;2.0.CO;2</v>
      </c>
      <c r="BG173" t="s">
        <v>74</v>
      </c>
      <c r="BH173" t="s">
        <v>74</v>
      </c>
      <c r="BI173">
        <v>31</v>
      </c>
      <c r="BJ173" t="s">
        <v>252</v>
      </c>
      <c r="BK173" t="s">
        <v>94</v>
      </c>
      <c r="BL173" t="s">
        <v>252</v>
      </c>
      <c r="BM173" t="s">
        <v>2427</v>
      </c>
      <c r="BN173" t="s">
        <v>74</v>
      </c>
      <c r="BO173" t="s">
        <v>1850</v>
      </c>
      <c r="BP173" t="s">
        <v>74</v>
      </c>
      <c r="BQ173" t="s">
        <v>74</v>
      </c>
      <c r="BR173" t="s">
        <v>97</v>
      </c>
      <c r="BS173" t="s">
        <v>2440</v>
      </c>
      <c r="BT173" t="str">
        <f>HYPERLINK("https%3A%2F%2Fwww.webofscience.com%2Fwos%2Fwoscc%2Ffull-record%2FWOS:000166475800010","View Full Record in Web of Science")</f>
        <v>View Full Record in Web of Science</v>
      </c>
    </row>
    <row r="174" spans="1:72" x14ac:dyDescent="0.15">
      <c r="A174" t="s">
        <v>72</v>
      </c>
      <c r="B174" t="s">
        <v>2441</v>
      </c>
      <c r="C174" t="s">
        <v>74</v>
      </c>
      <c r="D174" t="s">
        <v>74</v>
      </c>
      <c r="E174" t="s">
        <v>74</v>
      </c>
      <c r="F174" t="s">
        <v>2441</v>
      </c>
      <c r="G174" t="s">
        <v>74</v>
      </c>
      <c r="H174" t="s">
        <v>74</v>
      </c>
      <c r="I174" t="s">
        <v>2442</v>
      </c>
      <c r="J174" t="s">
        <v>2417</v>
      </c>
      <c r="K174" t="s">
        <v>74</v>
      </c>
      <c r="L174" t="s">
        <v>74</v>
      </c>
      <c r="M174" t="s">
        <v>77</v>
      </c>
      <c r="N174" t="s">
        <v>78</v>
      </c>
      <c r="O174" t="s">
        <v>74</v>
      </c>
      <c r="P174" t="s">
        <v>74</v>
      </c>
      <c r="Q174" t="s">
        <v>74</v>
      </c>
      <c r="R174" t="s">
        <v>74</v>
      </c>
      <c r="S174" t="s">
        <v>74</v>
      </c>
      <c r="T174" t="s">
        <v>74</v>
      </c>
      <c r="U174" t="s">
        <v>2443</v>
      </c>
      <c r="V174" t="s">
        <v>2444</v>
      </c>
      <c r="W174" t="s">
        <v>2445</v>
      </c>
      <c r="X174" t="s">
        <v>2446</v>
      </c>
      <c r="Y174" t="s">
        <v>2447</v>
      </c>
      <c r="Z174" t="s">
        <v>74</v>
      </c>
      <c r="AA174" t="s">
        <v>2448</v>
      </c>
      <c r="AB174" t="s">
        <v>2449</v>
      </c>
      <c r="AC174" t="s">
        <v>74</v>
      </c>
      <c r="AD174" t="s">
        <v>74</v>
      </c>
      <c r="AE174" t="s">
        <v>74</v>
      </c>
      <c r="AF174" t="s">
        <v>74</v>
      </c>
      <c r="AG174">
        <v>19</v>
      </c>
      <c r="AH174">
        <v>58</v>
      </c>
      <c r="AI174">
        <v>62</v>
      </c>
      <c r="AJ174">
        <v>0</v>
      </c>
      <c r="AK174">
        <v>8</v>
      </c>
      <c r="AL174" t="s">
        <v>1842</v>
      </c>
      <c r="AM174" t="s">
        <v>1843</v>
      </c>
      <c r="AN174" t="s">
        <v>1844</v>
      </c>
      <c r="AO174" t="s">
        <v>2423</v>
      </c>
      <c r="AP174" t="s">
        <v>74</v>
      </c>
      <c r="AQ174" t="s">
        <v>74</v>
      </c>
      <c r="AR174" t="s">
        <v>2424</v>
      </c>
      <c r="AS174" t="s">
        <v>2425</v>
      </c>
      <c r="AT174" t="s">
        <v>74</v>
      </c>
      <c r="AU174">
        <v>2001</v>
      </c>
      <c r="AV174">
        <v>31</v>
      </c>
      <c r="AW174">
        <v>1</v>
      </c>
      <c r="AX174" t="s">
        <v>74</v>
      </c>
      <c r="AY174" t="s">
        <v>74</v>
      </c>
      <c r="AZ174" t="s">
        <v>74</v>
      </c>
      <c r="BA174" t="s">
        <v>74</v>
      </c>
      <c r="BB174">
        <v>285</v>
      </c>
      <c r="BC174">
        <v>296</v>
      </c>
      <c r="BD174" t="s">
        <v>74</v>
      </c>
      <c r="BE174" t="s">
        <v>2450</v>
      </c>
      <c r="BF174" t="str">
        <f>HYPERLINK("http://dx.doi.org/10.1175/1520-0485(2001)031&lt;0285:TROMAI&gt;2.0.CO;2","http://dx.doi.org/10.1175/1520-0485(2001)031&lt;0285:TROMAI&gt;2.0.CO;2")</f>
        <v>http://dx.doi.org/10.1175/1520-0485(2001)031&lt;0285:TROMAI&gt;2.0.CO;2</v>
      </c>
      <c r="BG174" t="s">
        <v>74</v>
      </c>
      <c r="BH174" t="s">
        <v>74</v>
      </c>
      <c r="BI174">
        <v>12</v>
      </c>
      <c r="BJ174" t="s">
        <v>252</v>
      </c>
      <c r="BK174" t="s">
        <v>94</v>
      </c>
      <c r="BL174" t="s">
        <v>252</v>
      </c>
      <c r="BM174" t="s">
        <v>2427</v>
      </c>
      <c r="BN174" t="s">
        <v>74</v>
      </c>
      <c r="BO174" t="s">
        <v>2451</v>
      </c>
      <c r="BP174" t="s">
        <v>74</v>
      </c>
      <c r="BQ174" t="s">
        <v>74</v>
      </c>
      <c r="BR174" t="s">
        <v>97</v>
      </c>
      <c r="BS174" t="s">
        <v>2452</v>
      </c>
      <c r="BT174" t="str">
        <f>HYPERLINK("https%3A%2F%2Fwww.webofscience.com%2Fwos%2Fwoscc%2Ffull-record%2FWOS:000166475800017","View Full Record in Web of Science")</f>
        <v>View Full Record in Web of Science</v>
      </c>
    </row>
    <row r="175" spans="1:72" x14ac:dyDescent="0.15">
      <c r="A175" t="s">
        <v>72</v>
      </c>
      <c r="B175" t="s">
        <v>2453</v>
      </c>
      <c r="C175" t="s">
        <v>74</v>
      </c>
      <c r="D175" t="s">
        <v>74</v>
      </c>
      <c r="E175" t="s">
        <v>74</v>
      </c>
      <c r="F175" t="s">
        <v>2453</v>
      </c>
      <c r="G175" t="s">
        <v>74</v>
      </c>
      <c r="H175" t="s">
        <v>74</v>
      </c>
      <c r="I175" t="s">
        <v>2454</v>
      </c>
      <c r="J175" t="s">
        <v>2417</v>
      </c>
      <c r="K175" t="s">
        <v>74</v>
      </c>
      <c r="L175" t="s">
        <v>74</v>
      </c>
      <c r="M175" t="s">
        <v>77</v>
      </c>
      <c r="N175" t="s">
        <v>78</v>
      </c>
      <c r="O175" t="s">
        <v>74</v>
      </c>
      <c r="P175" t="s">
        <v>74</v>
      </c>
      <c r="Q175" t="s">
        <v>74</v>
      </c>
      <c r="R175" t="s">
        <v>74</v>
      </c>
      <c r="S175" t="s">
        <v>74</v>
      </c>
      <c r="T175" t="s">
        <v>74</v>
      </c>
      <c r="U175" t="s">
        <v>2455</v>
      </c>
      <c r="V175" t="s">
        <v>2456</v>
      </c>
      <c r="W175" t="s">
        <v>2457</v>
      </c>
      <c r="X175" t="s">
        <v>2458</v>
      </c>
      <c r="Y175" t="s">
        <v>2459</v>
      </c>
      <c r="Z175" t="s">
        <v>74</v>
      </c>
      <c r="AA175" t="s">
        <v>74</v>
      </c>
      <c r="AB175" t="s">
        <v>74</v>
      </c>
      <c r="AC175" t="s">
        <v>74</v>
      </c>
      <c r="AD175" t="s">
        <v>74</v>
      </c>
      <c r="AE175" t="s">
        <v>74</v>
      </c>
      <c r="AF175" t="s">
        <v>74</v>
      </c>
      <c r="AG175">
        <v>99</v>
      </c>
      <c r="AH175">
        <v>20</v>
      </c>
      <c r="AI175">
        <v>20</v>
      </c>
      <c r="AJ175">
        <v>0</v>
      </c>
      <c r="AK175">
        <v>7</v>
      </c>
      <c r="AL175" t="s">
        <v>1842</v>
      </c>
      <c r="AM175" t="s">
        <v>1843</v>
      </c>
      <c r="AN175" t="s">
        <v>1844</v>
      </c>
      <c r="AO175" t="s">
        <v>2423</v>
      </c>
      <c r="AP175" t="s">
        <v>74</v>
      </c>
      <c r="AQ175" t="s">
        <v>74</v>
      </c>
      <c r="AR175" t="s">
        <v>2424</v>
      </c>
      <c r="AS175" t="s">
        <v>2425</v>
      </c>
      <c r="AT175" t="s">
        <v>74</v>
      </c>
      <c r="AU175">
        <v>2001</v>
      </c>
      <c r="AV175">
        <v>31</v>
      </c>
      <c r="AW175">
        <v>3</v>
      </c>
      <c r="AX175" t="s">
        <v>74</v>
      </c>
      <c r="AY175" t="s">
        <v>74</v>
      </c>
      <c r="AZ175" t="s">
        <v>74</v>
      </c>
      <c r="BA175" t="s">
        <v>74</v>
      </c>
      <c r="BB175">
        <v>656</v>
      </c>
      <c r="BC175">
        <v>674</v>
      </c>
      <c r="BD175" t="s">
        <v>74</v>
      </c>
      <c r="BE175" t="s">
        <v>2460</v>
      </c>
      <c r="BF175" t="str">
        <f>HYPERLINK("http://dx.doi.org/10.1175/1520-0485(2001)031&lt;0656:IOSSCO&gt;2.0.CO;2","http://dx.doi.org/10.1175/1520-0485(2001)031&lt;0656:IOSSCO&gt;2.0.CO;2")</f>
        <v>http://dx.doi.org/10.1175/1520-0485(2001)031&lt;0656:IOSSCO&gt;2.0.CO;2</v>
      </c>
      <c r="BG175" t="s">
        <v>74</v>
      </c>
      <c r="BH175" t="s">
        <v>74</v>
      </c>
      <c r="BI175">
        <v>19</v>
      </c>
      <c r="BJ175" t="s">
        <v>252</v>
      </c>
      <c r="BK175" t="s">
        <v>94</v>
      </c>
      <c r="BL175" t="s">
        <v>252</v>
      </c>
      <c r="BM175" t="s">
        <v>2461</v>
      </c>
      <c r="BN175" t="s">
        <v>74</v>
      </c>
      <c r="BO175" t="s">
        <v>1850</v>
      </c>
      <c r="BP175" t="s">
        <v>74</v>
      </c>
      <c r="BQ175" t="s">
        <v>74</v>
      </c>
      <c r="BR175" t="s">
        <v>97</v>
      </c>
      <c r="BS175" t="s">
        <v>2462</v>
      </c>
      <c r="BT175" t="str">
        <f>HYPERLINK("https%3A%2F%2Fwww.webofscience.com%2Fwos%2Fwoscc%2Ffull-record%2FWOS:000167476100002","View Full Record in Web of Science")</f>
        <v>View Full Record in Web of Science</v>
      </c>
    </row>
    <row r="176" spans="1:72" x14ac:dyDescent="0.15">
      <c r="A176" t="s">
        <v>72</v>
      </c>
      <c r="B176" t="s">
        <v>2463</v>
      </c>
      <c r="C176" t="s">
        <v>74</v>
      </c>
      <c r="D176" t="s">
        <v>74</v>
      </c>
      <c r="E176" t="s">
        <v>74</v>
      </c>
      <c r="F176" t="s">
        <v>2463</v>
      </c>
      <c r="G176" t="s">
        <v>74</v>
      </c>
      <c r="H176" t="s">
        <v>74</v>
      </c>
      <c r="I176" t="s">
        <v>2464</v>
      </c>
      <c r="J176" t="s">
        <v>2417</v>
      </c>
      <c r="K176" t="s">
        <v>74</v>
      </c>
      <c r="L176" t="s">
        <v>74</v>
      </c>
      <c r="M176" t="s">
        <v>77</v>
      </c>
      <c r="N176" t="s">
        <v>78</v>
      </c>
      <c r="O176" t="s">
        <v>74</v>
      </c>
      <c r="P176" t="s">
        <v>74</v>
      </c>
      <c r="Q176" t="s">
        <v>74</v>
      </c>
      <c r="R176" t="s">
        <v>74</v>
      </c>
      <c r="S176" t="s">
        <v>74</v>
      </c>
      <c r="T176" t="s">
        <v>74</v>
      </c>
      <c r="U176" t="s">
        <v>2465</v>
      </c>
      <c r="V176" t="s">
        <v>2466</v>
      </c>
      <c r="W176" t="s">
        <v>2467</v>
      </c>
      <c r="X176" t="s">
        <v>2468</v>
      </c>
      <c r="Y176" t="s">
        <v>2469</v>
      </c>
      <c r="Z176" t="s">
        <v>74</v>
      </c>
      <c r="AA176" t="s">
        <v>74</v>
      </c>
      <c r="AB176" t="s">
        <v>74</v>
      </c>
      <c r="AC176" t="s">
        <v>74</v>
      </c>
      <c r="AD176" t="s">
        <v>74</v>
      </c>
      <c r="AE176" t="s">
        <v>74</v>
      </c>
      <c r="AF176" t="s">
        <v>74</v>
      </c>
      <c r="AG176">
        <v>33</v>
      </c>
      <c r="AH176">
        <v>21</v>
      </c>
      <c r="AI176">
        <v>21</v>
      </c>
      <c r="AJ176">
        <v>0</v>
      </c>
      <c r="AK176">
        <v>0</v>
      </c>
      <c r="AL176" t="s">
        <v>1842</v>
      </c>
      <c r="AM176" t="s">
        <v>1843</v>
      </c>
      <c r="AN176" t="s">
        <v>1844</v>
      </c>
      <c r="AO176" t="s">
        <v>2423</v>
      </c>
      <c r="AP176" t="s">
        <v>74</v>
      </c>
      <c r="AQ176" t="s">
        <v>74</v>
      </c>
      <c r="AR176" t="s">
        <v>2424</v>
      </c>
      <c r="AS176" t="s">
        <v>2425</v>
      </c>
      <c r="AT176" t="s">
        <v>74</v>
      </c>
      <c r="AU176">
        <v>2001</v>
      </c>
      <c r="AV176">
        <v>31</v>
      </c>
      <c r="AW176">
        <v>4</v>
      </c>
      <c r="AX176" t="s">
        <v>74</v>
      </c>
      <c r="AY176" t="s">
        <v>74</v>
      </c>
      <c r="AZ176" t="s">
        <v>74</v>
      </c>
      <c r="BA176" t="s">
        <v>74</v>
      </c>
      <c r="BB176">
        <v>861</v>
      </c>
      <c r="BC176">
        <v>873</v>
      </c>
      <c r="BD176" t="s">
        <v>74</v>
      </c>
      <c r="BE176" t="s">
        <v>2470</v>
      </c>
      <c r="BF176" t="str">
        <f>HYPERLINK("http://dx.doi.org/10.1175/1520-0485(2001)031&lt;0861:EOWWPF&gt;2.0.CO;2","http://dx.doi.org/10.1175/1520-0485(2001)031&lt;0861:EOWWPF&gt;2.0.CO;2")</f>
        <v>http://dx.doi.org/10.1175/1520-0485(2001)031&lt;0861:EOWWPF&gt;2.0.CO;2</v>
      </c>
      <c r="BG176" t="s">
        <v>74</v>
      </c>
      <c r="BH176" t="s">
        <v>74</v>
      </c>
      <c r="BI176">
        <v>13</v>
      </c>
      <c r="BJ176" t="s">
        <v>252</v>
      </c>
      <c r="BK176" t="s">
        <v>94</v>
      </c>
      <c r="BL176" t="s">
        <v>252</v>
      </c>
      <c r="BM176" t="s">
        <v>2471</v>
      </c>
      <c r="BN176" t="s">
        <v>74</v>
      </c>
      <c r="BO176" t="s">
        <v>1850</v>
      </c>
      <c r="BP176" t="s">
        <v>74</v>
      </c>
      <c r="BQ176" t="s">
        <v>74</v>
      </c>
      <c r="BR176" t="s">
        <v>97</v>
      </c>
      <c r="BS176" t="s">
        <v>2472</v>
      </c>
      <c r="BT176" t="str">
        <f>HYPERLINK("https%3A%2F%2Fwww.webofscience.com%2Fwos%2Fwoscc%2Ffull-record%2FWOS:000167990800001","View Full Record in Web of Science")</f>
        <v>View Full Record in Web of Science</v>
      </c>
    </row>
    <row r="177" spans="1:72" x14ac:dyDescent="0.15">
      <c r="A177" t="s">
        <v>72</v>
      </c>
      <c r="B177" t="s">
        <v>2473</v>
      </c>
      <c r="C177" t="s">
        <v>74</v>
      </c>
      <c r="D177" t="s">
        <v>74</v>
      </c>
      <c r="E177" t="s">
        <v>74</v>
      </c>
      <c r="F177" t="s">
        <v>2473</v>
      </c>
      <c r="G177" t="s">
        <v>74</v>
      </c>
      <c r="H177" t="s">
        <v>74</v>
      </c>
      <c r="I177" t="s">
        <v>2474</v>
      </c>
      <c r="J177" t="s">
        <v>2417</v>
      </c>
      <c r="K177" t="s">
        <v>74</v>
      </c>
      <c r="L177" t="s">
        <v>74</v>
      </c>
      <c r="M177" t="s">
        <v>77</v>
      </c>
      <c r="N177" t="s">
        <v>78</v>
      </c>
      <c r="O177" t="s">
        <v>74</v>
      </c>
      <c r="P177" t="s">
        <v>74</v>
      </c>
      <c r="Q177" t="s">
        <v>74</v>
      </c>
      <c r="R177" t="s">
        <v>74</v>
      </c>
      <c r="S177" t="s">
        <v>74</v>
      </c>
      <c r="T177" t="s">
        <v>74</v>
      </c>
      <c r="U177" t="s">
        <v>2475</v>
      </c>
      <c r="V177" t="s">
        <v>2476</v>
      </c>
      <c r="W177" t="s">
        <v>2477</v>
      </c>
      <c r="X177" t="s">
        <v>2478</v>
      </c>
      <c r="Y177" t="s">
        <v>2479</v>
      </c>
      <c r="Z177" t="s">
        <v>74</v>
      </c>
      <c r="AA177" t="s">
        <v>74</v>
      </c>
      <c r="AB177" t="s">
        <v>2480</v>
      </c>
      <c r="AC177" t="s">
        <v>74</v>
      </c>
      <c r="AD177" t="s">
        <v>74</v>
      </c>
      <c r="AE177" t="s">
        <v>74</v>
      </c>
      <c r="AF177" t="s">
        <v>74</v>
      </c>
      <c r="AG177">
        <v>36</v>
      </c>
      <c r="AH177">
        <v>28</v>
      </c>
      <c r="AI177">
        <v>30</v>
      </c>
      <c r="AJ177">
        <v>0</v>
      </c>
      <c r="AK177">
        <v>2</v>
      </c>
      <c r="AL177" t="s">
        <v>1842</v>
      </c>
      <c r="AM177" t="s">
        <v>1843</v>
      </c>
      <c r="AN177" t="s">
        <v>1844</v>
      </c>
      <c r="AO177" t="s">
        <v>2423</v>
      </c>
      <c r="AP177" t="s">
        <v>74</v>
      </c>
      <c r="AQ177" t="s">
        <v>74</v>
      </c>
      <c r="AR177" t="s">
        <v>2424</v>
      </c>
      <c r="AS177" t="s">
        <v>2425</v>
      </c>
      <c r="AT177" t="s">
        <v>74</v>
      </c>
      <c r="AU177">
        <v>2001</v>
      </c>
      <c r="AV177">
        <v>31</v>
      </c>
      <c r="AW177">
        <v>4</v>
      </c>
      <c r="AX177" t="s">
        <v>74</v>
      </c>
      <c r="AY177" t="s">
        <v>74</v>
      </c>
      <c r="AZ177" t="s">
        <v>74</v>
      </c>
      <c r="BA177" t="s">
        <v>74</v>
      </c>
      <c r="BB177">
        <v>892</v>
      </c>
      <c r="BC177">
        <v>913</v>
      </c>
      <c r="BD177" t="s">
        <v>74</v>
      </c>
      <c r="BE177" t="s">
        <v>2481</v>
      </c>
      <c r="BF177" t="str">
        <f>HYPERLINK("http://dx.doi.org/10.1175/1520-0485(2001)031&lt;0892:RALFIT&gt;2.0.CO;2","http://dx.doi.org/10.1175/1520-0485(2001)031&lt;0892:RALFIT&gt;2.0.CO;2")</f>
        <v>http://dx.doi.org/10.1175/1520-0485(2001)031&lt;0892:RALFIT&gt;2.0.CO;2</v>
      </c>
      <c r="BG177" t="s">
        <v>74</v>
      </c>
      <c r="BH177" t="s">
        <v>74</v>
      </c>
      <c r="BI177">
        <v>22</v>
      </c>
      <c r="BJ177" t="s">
        <v>252</v>
      </c>
      <c r="BK177" t="s">
        <v>94</v>
      </c>
      <c r="BL177" t="s">
        <v>252</v>
      </c>
      <c r="BM177" t="s">
        <v>2471</v>
      </c>
      <c r="BN177" t="s">
        <v>74</v>
      </c>
      <c r="BO177" t="s">
        <v>1850</v>
      </c>
      <c r="BP177" t="s">
        <v>74</v>
      </c>
      <c r="BQ177" t="s">
        <v>74</v>
      </c>
      <c r="BR177" t="s">
        <v>97</v>
      </c>
      <c r="BS177" t="s">
        <v>2482</v>
      </c>
      <c r="BT177" t="str">
        <f>HYPERLINK("https%3A%2F%2Fwww.webofscience.com%2Fwos%2Fwoscc%2Ffull-record%2FWOS:000167990800003","View Full Record in Web of Science")</f>
        <v>View Full Record in Web of Science</v>
      </c>
    </row>
    <row r="178" spans="1:72" x14ac:dyDescent="0.15">
      <c r="A178" t="s">
        <v>72</v>
      </c>
      <c r="B178" t="s">
        <v>2483</v>
      </c>
      <c r="C178" t="s">
        <v>74</v>
      </c>
      <c r="D178" t="s">
        <v>74</v>
      </c>
      <c r="E178" t="s">
        <v>74</v>
      </c>
      <c r="F178" t="s">
        <v>2483</v>
      </c>
      <c r="G178" t="s">
        <v>74</v>
      </c>
      <c r="H178" t="s">
        <v>74</v>
      </c>
      <c r="I178" t="s">
        <v>2484</v>
      </c>
      <c r="J178" t="s">
        <v>2417</v>
      </c>
      <c r="K178" t="s">
        <v>74</v>
      </c>
      <c r="L178" t="s">
        <v>74</v>
      </c>
      <c r="M178" t="s">
        <v>77</v>
      </c>
      <c r="N178" t="s">
        <v>78</v>
      </c>
      <c r="O178" t="s">
        <v>74</v>
      </c>
      <c r="P178" t="s">
        <v>74</v>
      </c>
      <c r="Q178" t="s">
        <v>74</v>
      </c>
      <c r="R178" t="s">
        <v>74</v>
      </c>
      <c r="S178" t="s">
        <v>74</v>
      </c>
      <c r="T178" t="s">
        <v>74</v>
      </c>
      <c r="U178" t="s">
        <v>2485</v>
      </c>
      <c r="V178" t="s">
        <v>2486</v>
      </c>
      <c r="W178" t="s">
        <v>2487</v>
      </c>
      <c r="X178" t="s">
        <v>2488</v>
      </c>
      <c r="Y178" t="s">
        <v>2489</v>
      </c>
      <c r="Z178" t="s">
        <v>2490</v>
      </c>
      <c r="AA178" t="s">
        <v>74</v>
      </c>
      <c r="AB178" t="s">
        <v>74</v>
      </c>
      <c r="AC178" t="s">
        <v>74</v>
      </c>
      <c r="AD178" t="s">
        <v>74</v>
      </c>
      <c r="AE178" t="s">
        <v>74</v>
      </c>
      <c r="AF178" t="s">
        <v>74</v>
      </c>
      <c r="AG178">
        <v>29</v>
      </c>
      <c r="AH178">
        <v>19</v>
      </c>
      <c r="AI178">
        <v>20</v>
      </c>
      <c r="AJ178">
        <v>0</v>
      </c>
      <c r="AK178">
        <v>8</v>
      </c>
      <c r="AL178" t="s">
        <v>1842</v>
      </c>
      <c r="AM178" t="s">
        <v>1843</v>
      </c>
      <c r="AN178" t="s">
        <v>2011</v>
      </c>
      <c r="AO178" t="s">
        <v>2423</v>
      </c>
      <c r="AP178" t="s">
        <v>2491</v>
      </c>
      <c r="AQ178" t="s">
        <v>74</v>
      </c>
      <c r="AR178" t="s">
        <v>2424</v>
      </c>
      <c r="AS178" t="s">
        <v>2425</v>
      </c>
      <c r="AT178" t="s">
        <v>74</v>
      </c>
      <c r="AU178">
        <v>2001</v>
      </c>
      <c r="AV178">
        <v>31</v>
      </c>
      <c r="AW178">
        <v>4</v>
      </c>
      <c r="AX178" t="s">
        <v>74</v>
      </c>
      <c r="AY178" t="s">
        <v>74</v>
      </c>
      <c r="AZ178" t="s">
        <v>74</v>
      </c>
      <c r="BA178" t="s">
        <v>74</v>
      </c>
      <c r="BB178">
        <v>932</v>
      </c>
      <c r="BC178">
        <v>942</v>
      </c>
      <c r="BD178" t="s">
        <v>74</v>
      </c>
      <c r="BE178" t="s">
        <v>2492</v>
      </c>
      <c r="BF178" t="str">
        <f>HYPERLINK("http://dx.doi.org/10.1175/1520-0485(2001)031&lt;0932:IOTITO&gt;2.0.CO;2","http://dx.doi.org/10.1175/1520-0485(2001)031&lt;0932:IOTITO&gt;2.0.CO;2")</f>
        <v>http://dx.doi.org/10.1175/1520-0485(2001)031&lt;0932:IOTITO&gt;2.0.CO;2</v>
      </c>
      <c r="BG178" t="s">
        <v>74</v>
      </c>
      <c r="BH178" t="s">
        <v>74</v>
      </c>
      <c r="BI178">
        <v>11</v>
      </c>
      <c r="BJ178" t="s">
        <v>252</v>
      </c>
      <c r="BK178" t="s">
        <v>94</v>
      </c>
      <c r="BL178" t="s">
        <v>252</v>
      </c>
      <c r="BM178" t="s">
        <v>2471</v>
      </c>
      <c r="BN178" t="s">
        <v>74</v>
      </c>
      <c r="BO178" t="s">
        <v>1850</v>
      </c>
      <c r="BP178" t="s">
        <v>74</v>
      </c>
      <c r="BQ178" t="s">
        <v>74</v>
      </c>
      <c r="BR178" t="s">
        <v>97</v>
      </c>
      <c r="BS178" t="s">
        <v>2493</v>
      </c>
      <c r="BT178" t="str">
        <f>HYPERLINK("https%3A%2F%2Fwww.webofscience.com%2Fwos%2Fwoscc%2Ffull-record%2FWOS:000167990800005","View Full Record in Web of Science")</f>
        <v>View Full Record in Web of Science</v>
      </c>
    </row>
    <row r="179" spans="1:72" x14ac:dyDescent="0.15">
      <c r="A179" t="s">
        <v>72</v>
      </c>
      <c r="B179" t="s">
        <v>2430</v>
      </c>
      <c r="C179" t="s">
        <v>74</v>
      </c>
      <c r="D179" t="s">
        <v>74</v>
      </c>
      <c r="E179" t="s">
        <v>74</v>
      </c>
      <c r="F179" t="s">
        <v>2430</v>
      </c>
      <c r="G179" t="s">
        <v>74</v>
      </c>
      <c r="H179" t="s">
        <v>74</v>
      </c>
      <c r="I179" t="s">
        <v>2494</v>
      </c>
      <c r="J179" t="s">
        <v>2417</v>
      </c>
      <c r="K179" t="s">
        <v>74</v>
      </c>
      <c r="L179" t="s">
        <v>74</v>
      </c>
      <c r="M179" t="s">
        <v>77</v>
      </c>
      <c r="N179" t="s">
        <v>78</v>
      </c>
      <c r="O179" t="s">
        <v>74</v>
      </c>
      <c r="P179" t="s">
        <v>74</v>
      </c>
      <c r="Q179" t="s">
        <v>74</v>
      </c>
      <c r="R179" t="s">
        <v>74</v>
      </c>
      <c r="S179" t="s">
        <v>74</v>
      </c>
      <c r="T179" t="s">
        <v>74</v>
      </c>
      <c r="U179" t="s">
        <v>2495</v>
      </c>
      <c r="V179" t="s">
        <v>2496</v>
      </c>
      <c r="W179" t="s">
        <v>2497</v>
      </c>
      <c r="X179" t="s">
        <v>2498</v>
      </c>
      <c r="Y179" t="s">
        <v>2499</v>
      </c>
      <c r="Z179" t="s">
        <v>74</v>
      </c>
      <c r="AA179" t="s">
        <v>2500</v>
      </c>
      <c r="AB179" t="s">
        <v>2501</v>
      </c>
      <c r="AC179" t="s">
        <v>74</v>
      </c>
      <c r="AD179" t="s">
        <v>74</v>
      </c>
      <c r="AE179" t="s">
        <v>74</v>
      </c>
      <c r="AF179" t="s">
        <v>74</v>
      </c>
      <c r="AG179">
        <v>79</v>
      </c>
      <c r="AH179">
        <v>259</v>
      </c>
      <c r="AI179">
        <v>280</v>
      </c>
      <c r="AJ179">
        <v>2</v>
      </c>
      <c r="AK179">
        <v>43</v>
      </c>
      <c r="AL179" t="s">
        <v>1842</v>
      </c>
      <c r="AM179" t="s">
        <v>1843</v>
      </c>
      <c r="AN179" t="s">
        <v>1844</v>
      </c>
      <c r="AO179" t="s">
        <v>2423</v>
      </c>
      <c r="AP179" t="s">
        <v>74</v>
      </c>
      <c r="AQ179" t="s">
        <v>74</v>
      </c>
      <c r="AR179" t="s">
        <v>2424</v>
      </c>
      <c r="AS179" t="s">
        <v>2425</v>
      </c>
      <c r="AT179" t="s">
        <v>74</v>
      </c>
      <c r="AU179">
        <v>2001</v>
      </c>
      <c r="AV179">
        <v>31</v>
      </c>
      <c r="AW179">
        <v>4</v>
      </c>
      <c r="AX179" t="s">
        <v>74</v>
      </c>
      <c r="AY179" t="s">
        <v>74</v>
      </c>
      <c r="AZ179" t="s">
        <v>74</v>
      </c>
      <c r="BA179" t="s">
        <v>74</v>
      </c>
      <c r="BB179">
        <v>1005</v>
      </c>
      <c r="BC179">
        <v>1030</v>
      </c>
      <c r="BD179" t="s">
        <v>74</v>
      </c>
      <c r="BE179" t="s">
        <v>2502</v>
      </c>
      <c r="BF179" t="str">
        <f>HYPERLINK("http://dx.doi.org/10.1175/1520-0485(2001)031&lt;1005:CRAMOA&gt;2.0.CO;2","http://dx.doi.org/10.1175/1520-0485(2001)031&lt;1005:CRAMOA&gt;2.0.CO;2")</f>
        <v>http://dx.doi.org/10.1175/1520-0485(2001)031&lt;1005:CRAMOA&gt;2.0.CO;2</v>
      </c>
      <c r="BG179" t="s">
        <v>74</v>
      </c>
      <c r="BH179" t="s">
        <v>74</v>
      </c>
      <c r="BI179">
        <v>26</v>
      </c>
      <c r="BJ179" t="s">
        <v>252</v>
      </c>
      <c r="BK179" t="s">
        <v>94</v>
      </c>
      <c r="BL179" t="s">
        <v>252</v>
      </c>
      <c r="BM179" t="s">
        <v>2471</v>
      </c>
      <c r="BN179" t="s">
        <v>74</v>
      </c>
      <c r="BO179" t="s">
        <v>1850</v>
      </c>
      <c r="BP179" t="s">
        <v>74</v>
      </c>
      <c r="BQ179" t="s">
        <v>74</v>
      </c>
      <c r="BR179" t="s">
        <v>97</v>
      </c>
      <c r="BS179" t="s">
        <v>2503</v>
      </c>
      <c r="BT179" t="str">
        <f>HYPERLINK("https%3A%2F%2Fwww.webofscience.com%2Fwos%2Fwoscc%2Ffull-record%2FWOS:000167990800010","View Full Record in Web of Science")</f>
        <v>View Full Record in Web of Science</v>
      </c>
    </row>
    <row r="180" spans="1:72" x14ac:dyDescent="0.15">
      <c r="A180" t="s">
        <v>72</v>
      </c>
      <c r="B180" t="s">
        <v>2504</v>
      </c>
      <c r="C180" t="s">
        <v>74</v>
      </c>
      <c r="D180" t="s">
        <v>74</v>
      </c>
      <c r="E180" t="s">
        <v>74</v>
      </c>
      <c r="F180" t="s">
        <v>2504</v>
      </c>
      <c r="G180" t="s">
        <v>74</v>
      </c>
      <c r="H180" t="s">
        <v>74</v>
      </c>
      <c r="I180" t="s">
        <v>2505</v>
      </c>
      <c r="J180" t="s">
        <v>2417</v>
      </c>
      <c r="K180" t="s">
        <v>74</v>
      </c>
      <c r="L180" t="s">
        <v>74</v>
      </c>
      <c r="M180" t="s">
        <v>77</v>
      </c>
      <c r="N180" t="s">
        <v>78</v>
      </c>
      <c r="O180" t="s">
        <v>74</v>
      </c>
      <c r="P180" t="s">
        <v>74</v>
      </c>
      <c r="Q180" t="s">
        <v>74</v>
      </c>
      <c r="R180" t="s">
        <v>74</v>
      </c>
      <c r="S180" t="s">
        <v>74</v>
      </c>
      <c r="T180" t="s">
        <v>74</v>
      </c>
      <c r="U180" t="s">
        <v>2506</v>
      </c>
      <c r="V180" t="s">
        <v>2507</v>
      </c>
      <c r="W180" t="s">
        <v>2508</v>
      </c>
      <c r="X180" t="s">
        <v>2509</v>
      </c>
      <c r="Y180" t="s">
        <v>2510</v>
      </c>
      <c r="Z180" t="s">
        <v>2511</v>
      </c>
      <c r="AA180" t="s">
        <v>2512</v>
      </c>
      <c r="AB180" t="s">
        <v>74</v>
      </c>
      <c r="AC180" t="s">
        <v>74</v>
      </c>
      <c r="AD180" t="s">
        <v>74</v>
      </c>
      <c r="AE180" t="s">
        <v>74</v>
      </c>
      <c r="AF180" t="s">
        <v>74</v>
      </c>
      <c r="AG180">
        <v>42</v>
      </c>
      <c r="AH180">
        <v>136</v>
      </c>
      <c r="AI180">
        <v>143</v>
      </c>
      <c r="AJ180">
        <v>0</v>
      </c>
      <c r="AK180">
        <v>10</v>
      </c>
      <c r="AL180" t="s">
        <v>1842</v>
      </c>
      <c r="AM180" t="s">
        <v>1843</v>
      </c>
      <c r="AN180" t="s">
        <v>1844</v>
      </c>
      <c r="AO180" t="s">
        <v>2423</v>
      </c>
      <c r="AP180" t="s">
        <v>74</v>
      </c>
      <c r="AQ180" t="s">
        <v>74</v>
      </c>
      <c r="AR180" t="s">
        <v>2424</v>
      </c>
      <c r="AS180" t="s">
        <v>2425</v>
      </c>
      <c r="AT180" t="s">
        <v>74</v>
      </c>
      <c r="AU180">
        <v>2001</v>
      </c>
      <c r="AV180">
        <v>31</v>
      </c>
      <c r="AW180">
        <v>5</v>
      </c>
      <c r="AX180" t="s">
        <v>74</v>
      </c>
      <c r="AY180" t="s">
        <v>74</v>
      </c>
      <c r="AZ180" t="s">
        <v>74</v>
      </c>
      <c r="BA180" t="s">
        <v>74</v>
      </c>
      <c r="BB180">
        <v>1222</v>
      </c>
      <c r="BC180">
        <v>1246</v>
      </c>
      <c r="BD180" t="s">
        <v>74</v>
      </c>
      <c r="BE180" t="s">
        <v>2513</v>
      </c>
      <c r="BF180" t="str">
        <f>HYPERLINK("http://dx.doi.org/10.1175/1520-0485(2001)031&lt;1222:TTRMVP&gt;2.0.CO;2","http://dx.doi.org/10.1175/1520-0485(2001)031&lt;1222:TTRMVP&gt;2.0.CO;2")</f>
        <v>http://dx.doi.org/10.1175/1520-0485(2001)031&lt;1222:TTRMVP&gt;2.0.CO;2</v>
      </c>
      <c r="BG180" t="s">
        <v>74</v>
      </c>
      <c r="BH180" t="s">
        <v>74</v>
      </c>
      <c r="BI180">
        <v>25</v>
      </c>
      <c r="BJ180" t="s">
        <v>252</v>
      </c>
      <c r="BK180" t="s">
        <v>94</v>
      </c>
      <c r="BL180" t="s">
        <v>252</v>
      </c>
      <c r="BM180" t="s">
        <v>2514</v>
      </c>
      <c r="BN180" t="s">
        <v>74</v>
      </c>
      <c r="BO180" t="s">
        <v>1850</v>
      </c>
      <c r="BP180" t="s">
        <v>74</v>
      </c>
      <c r="BQ180" t="s">
        <v>74</v>
      </c>
      <c r="BR180" t="s">
        <v>97</v>
      </c>
      <c r="BS180" t="s">
        <v>2515</v>
      </c>
      <c r="BT180" t="str">
        <f>HYPERLINK("https%3A%2F%2Fwww.webofscience.com%2Fwos%2Fwoscc%2Ffull-record%2FWOS:000168423100004","View Full Record in Web of Science")</f>
        <v>View Full Record in Web of Science</v>
      </c>
    </row>
    <row r="181" spans="1:72" x14ac:dyDescent="0.15">
      <c r="A181" t="s">
        <v>72</v>
      </c>
      <c r="B181" t="s">
        <v>2516</v>
      </c>
      <c r="C181" t="s">
        <v>74</v>
      </c>
      <c r="D181" t="s">
        <v>74</v>
      </c>
      <c r="E181" t="s">
        <v>74</v>
      </c>
      <c r="F181" t="s">
        <v>2516</v>
      </c>
      <c r="G181" t="s">
        <v>74</v>
      </c>
      <c r="H181" t="s">
        <v>74</v>
      </c>
      <c r="I181" t="s">
        <v>2517</v>
      </c>
      <c r="J181" t="s">
        <v>2417</v>
      </c>
      <c r="K181" t="s">
        <v>74</v>
      </c>
      <c r="L181" t="s">
        <v>74</v>
      </c>
      <c r="M181" t="s">
        <v>77</v>
      </c>
      <c r="N181" t="s">
        <v>78</v>
      </c>
      <c r="O181" t="s">
        <v>74</v>
      </c>
      <c r="P181" t="s">
        <v>74</v>
      </c>
      <c r="Q181" t="s">
        <v>74</v>
      </c>
      <c r="R181" t="s">
        <v>74</v>
      </c>
      <c r="S181" t="s">
        <v>74</v>
      </c>
      <c r="T181" t="s">
        <v>74</v>
      </c>
      <c r="U181" t="s">
        <v>2518</v>
      </c>
      <c r="V181" t="s">
        <v>2519</v>
      </c>
      <c r="W181" t="s">
        <v>2520</v>
      </c>
      <c r="X181" t="s">
        <v>2521</v>
      </c>
      <c r="Y181" t="s">
        <v>2522</v>
      </c>
      <c r="Z181" t="s">
        <v>2523</v>
      </c>
      <c r="AA181" t="s">
        <v>74</v>
      </c>
      <c r="AB181" t="s">
        <v>74</v>
      </c>
      <c r="AC181" t="s">
        <v>74</v>
      </c>
      <c r="AD181" t="s">
        <v>74</v>
      </c>
      <c r="AE181" t="s">
        <v>74</v>
      </c>
      <c r="AF181" t="s">
        <v>74</v>
      </c>
      <c r="AG181">
        <v>23</v>
      </c>
      <c r="AH181">
        <v>32</v>
      </c>
      <c r="AI181">
        <v>35</v>
      </c>
      <c r="AJ181">
        <v>0</v>
      </c>
      <c r="AK181">
        <v>4</v>
      </c>
      <c r="AL181" t="s">
        <v>1842</v>
      </c>
      <c r="AM181" t="s">
        <v>1843</v>
      </c>
      <c r="AN181" t="s">
        <v>1844</v>
      </c>
      <c r="AO181" t="s">
        <v>2423</v>
      </c>
      <c r="AP181" t="s">
        <v>2491</v>
      </c>
      <c r="AQ181" t="s">
        <v>74</v>
      </c>
      <c r="AR181" t="s">
        <v>2424</v>
      </c>
      <c r="AS181" t="s">
        <v>2425</v>
      </c>
      <c r="AT181" t="s">
        <v>74</v>
      </c>
      <c r="AU181">
        <v>2001</v>
      </c>
      <c r="AV181">
        <v>31</v>
      </c>
      <c r="AW181">
        <v>6</v>
      </c>
      <c r="AX181" t="s">
        <v>74</v>
      </c>
      <c r="AY181" t="s">
        <v>74</v>
      </c>
      <c r="AZ181" t="s">
        <v>74</v>
      </c>
      <c r="BA181" t="s">
        <v>74</v>
      </c>
      <c r="BB181">
        <v>1427</v>
      </c>
      <c r="BC181">
        <v>1439</v>
      </c>
      <c r="BD181" t="s">
        <v>74</v>
      </c>
      <c r="BE181" t="s">
        <v>2524</v>
      </c>
      <c r="BF181" t="str">
        <f>HYPERLINK("http://dx.doi.org/10.1175/1520-0485(2001)031&lt;1427:MTAAZC&gt;2.0.CO;2","http://dx.doi.org/10.1175/1520-0485(2001)031&lt;1427:MTAAZC&gt;2.0.CO;2")</f>
        <v>http://dx.doi.org/10.1175/1520-0485(2001)031&lt;1427:MTAAZC&gt;2.0.CO;2</v>
      </c>
      <c r="BG181" t="s">
        <v>74</v>
      </c>
      <c r="BH181" t="s">
        <v>74</v>
      </c>
      <c r="BI181">
        <v>13</v>
      </c>
      <c r="BJ181" t="s">
        <v>252</v>
      </c>
      <c r="BK181" t="s">
        <v>94</v>
      </c>
      <c r="BL181" t="s">
        <v>252</v>
      </c>
      <c r="BM181" t="s">
        <v>2525</v>
      </c>
      <c r="BN181" t="s">
        <v>74</v>
      </c>
      <c r="BO181" t="s">
        <v>1850</v>
      </c>
      <c r="BP181" t="s">
        <v>74</v>
      </c>
      <c r="BQ181" t="s">
        <v>74</v>
      </c>
      <c r="BR181" t="s">
        <v>97</v>
      </c>
      <c r="BS181" t="s">
        <v>2526</v>
      </c>
      <c r="BT181" t="str">
        <f>HYPERLINK("https%3A%2F%2Fwww.webofscience.com%2Fwos%2Fwoscc%2Ffull-record%2FWOS:000169360500003","View Full Record in Web of Science")</f>
        <v>View Full Record in Web of Science</v>
      </c>
    </row>
    <row r="182" spans="1:72" x14ac:dyDescent="0.15">
      <c r="A182" t="s">
        <v>72</v>
      </c>
      <c r="B182" t="s">
        <v>2527</v>
      </c>
      <c r="C182" t="s">
        <v>74</v>
      </c>
      <c r="D182" t="s">
        <v>74</v>
      </c>
      <c r="E182" t="s">
        <v>74</v>
      </c>
      <c r="F182" t="s">
        <v>2527</v>
      </c>
      <c r="G182" t="s">
        <v>74</v>
      </c>
      <c r="H182" t="s">
        <v>74</v>
      </c>
      <c r="I182" t="s">
        <v>2528</v>
      </c>
      <c r="J182" t="s">
        <v>2417</v>
      </c>
      <c r="K182" t="s">
        <v>74</v>
      </c>
      <c r="L182" t="s">
        <v>74</v>
      </c>
      <c r="M182" t="s">
        <v>77</v>
      </c>
      <c r="N182" t="s">
        <v>78</v>
      </c>
      <c r="O182" t="s">
        <v>74</v>
      </c>
      <c r="P182" t="s">
        <v>74</v>
      </c>
      <c r="Q182" t="s">
        <v>74</v>
      </c>
      <c r="R182" t="s">
        <v>74</v>
      </c>
      <c r="S182" t="s">
        <v>74</v>
      </c>
      <c r="T182" t="s">
        <v>74</v>
      </c>
      <c r="U182" t="s">
        <v>2529</v>
      </c>
      <c r="V182" t="s">
        <v>2530</v>
      </c>
      <c r="W182" t="s">
        <v>2531</v>
      </c>
      <c r="X182" t="s">
        <v>2532</v>
      </c>
      <c r="Y182" t="s">
        <v>2533</v>
      </c>
      <c r="Z182" t="s">
        <v>74</v>
      </c>
      <c r="AA182" t="s">
        <v>74</v>
      </c>
      <c r="AB182" t="s">
        <v>74</v>
      </c>
      <c r="AC182" t="s">
        <v>74</v>
      </c>
      <c r="AD182" t="s">
        <v>74</v>
      </c>
      <c r="AE182" t="s">
        <v>74</v>
      </c>
      <c r="AF182" t="s">
        <v>74</v>
      </c>
      <c r="AG182">
        <v>47</v>
      </c>
      <c r="AH182">
        <v>29</v>
      </c>
      <c r="AI182">
        <v>32</v>
      </c>
      <c r="AJ182">
        <v>0</v>
      </c>
      <c r="AK182">
        <v>4</v>
      </c>
      <c r="AL182" t="s">
        <v>1842</v>
      </c>
      <c r="AM182" t="s">
        <v>1843</v>
      </c>
      <c r="AN182" t="s">
        <v>1844</v>
      </c>
      <c r="AO182" t="s">
        <v>2423</v>
      </c>
      <c r="AP182" t="s">
        <v>74</v>
      </c>
      <c r="AQ182" t="s">
        <v>74</v>
      </c>
      <c r="AR182" t="s">
        <v>2424</v>
      </c>
      <c r="AS182" t="s">
        <v>2425</v>
      </c>
      <c r="AT182" t="s">
        <v>74</v>
      </c>
      <c r="AU182">
        <v>2001</v>
      </c>
      <c r="AV182">
        <v>31</v>
      </c>
      <c r="AW182">
        <v>6</v>
      </c>
      <c r="AX182" t="s">
        <v>74</v>
      </c>
      <c r="AY182" t="s">
        <v>74</v>
      </c>
      <c r="AZ182" t="s">
        <v>74</v>
      </c>
      <c r="BA182" t="s">
        <v>74</v>
      </c>
      <c r="BB182">
        <v>1440</v>
      </c>
      <c r="BC182">
        <v>1460</v>
      </c>
      <c r="BD182" t="s">
        <v>74</v>
      </c>
      <c r="BE182" t="s">
        <v>2534</v>
      </c>
      <c r="BF182" t="str">
        <f>HYPERLINK("http://dx.doi.org/10.1175/1520-0485(2001)031&lt;1440:EOTDWB&gt;2.0.CO;2","http://dx.doi.org/10.1175/1520-0485(2001)031&lt;1440:EOTDWB&gt;2.0.CO;2")</f>
        <v>http://dx.doi.org/10.1175/1520-0485(2001)031&lt;1440:EOTDWB&gt;2.0.CO;2</v>
      </c>
      <c r="BG182" t="s">
        <v>74</v>
      </c>
      <c r="BH182" t="s">
        <v>74</v>
      </c>
      <c r="BI182">
        <v>21</v>
      </c>
      <c r="BJ182" t="s">
        <v>252</v>
      </c>
      <c r="BK182" t="s">
        <v>94</v>
      </c>
      <c r="BL182" t="s">
        <v>252</v>
      </c>
      <c r="BM182" t="s">
        <v>2525</v>
      </c>
      <c r="BN182" t="s">
        <v>74</v>
      </c>
      <c r="BO182" t="s">
        <v>1850</v>
      </c>
      <c r="BP182" t="s">
        <v>74</v>
      </c>
      <c r="BQ182" t="s">
        <v>74</v>
      </c>
      <c r="BR182" t="s">
        <v>97</v>
      </c>
      <c r="BS182" t="s">
        <v>2535</v>
      </c>
      <c r="BT182" t="str">
        <f>HYPERLINK("https%3A%2F%2Fwww.webofscience.com%2Fwos%2Fwoscc%2Ffull-record%2FWOS:000169360500004","View Full Record in Web of Science")</f>
        <v>View Full Record in Web of Science</v>
      </c>
    </row>
    <row r="183" spans="1:72" x14ac:dyDescent="0.15">
      <c r="A183" t="s">
        <v>72</v>
      </c>
      <c r="B183" t="s">
        <v>2536</v>
      </c>
      <c r="C183" t="s">
        <v>74</v>
      </c>
      <c r="D183" t="s">
        <v>74</v>
      </c>
      <c r="E183" t="s">
        <v>74</v>
      </c>
      <c r="F183" t="s">
        <v>2536</v>
      </c>
      <c r="G183" t="s">
        <v>74</v>
      </c>
      <c r="H183" t="s">
        <v>74</v>
      </c>
      <c r="I183" t="s">
        <v>2537</v>
      </c>
      <c r="J183" t="s">
        <v>2417</v>
      </c>
      <c r="K183" t="s">
        <v>74</v>
      </c>
      <c r="L183" t="s">
        <v>74</v>
      </c>
      <c r="M183" t="s">
        <v>77</v>
      </c>
      <c r="N183" t="s">
        <v>78</v>
      </c>
      <c r="O183" t="s">
        <v>74</v>
      </c>
      <c r="P183" t="s">
        <v>74</v>
      </c>
      <c r="Q183" t="s">
        <v>74</v>
      </c>
      <c r="R183" t="s">
        <v>74</v>
      </c>
      <c r="S183" t="s">
        <v>74</v>
      </c>
      <c r="T183" t="s">
        <v>74</v>
      </c>
      <c r="U183" t="s">
        <v>2538</v>
      </c>
      <c r="V183" t="s">
        <v>2539</v>
      </c>
      <c r="W183" t="s">
        <v>2540</v>
      </c>
      <c r="X183" t="s">
        <v>2521</v>
      </c>
      <c r="Y183" t="s">
        <v>2541</v>
      </c>
      <c r="Z183" t="s">
        <v>74</v>
      </c>
      <c r="AA183" t="s">
        <v>74</v>
      </c>
      <c r="AB183" t="s">
        <v>2542</v>
      </c>
      <c r="AC183" t="s">
        <v>74</v>
      </c>
      <c r="AD183" t="s">
        <v>74</v>
      </c>
      <c r="AE183" t="s">
        <v>74</v>
      </c>
      <c r="AF183" t="s">
        <v>74</v>
      </c>
      <c r="AG183">
        <v>67</v>
      </c>
      <c r="AH183">
        <v>42</v>
      </c>
      <c r="AI183">
        <v>44</v>
      </c>
      <c r="AJ183">
        <v>0</v>
      </c>
      <c r="AK183">
        <v>7</v>
      </c>
      <c r="AL183" t="s">
        <v>1842</v>
      </c>
      <c r="AM183" t="s">
        <v>1843</v>
      </c>
      <c r="AN183" t="s">
        <v>1844</v>
      </c>
      <c r="AO183" t="s">
        <v>2423</v>
      </c>
      <c r="AP183" t="s">
        <v>74</v>
      </c>
      <c r="AQ183" t="s">
        <v>74</v>
      </c>
      <c r="AR183" t="s">
        <v>2424</v>
      </c>
      <c r="AS183" t="s">
        <v>2425</v>
      </c>
      <c r="AT183" t="s">
        <v>74</v>
      </c>
      <c r="AU183">
        <v>2001</v>
      </c>
      <c r="AV183">
        <v>31</v>
      </c>
      <c r="AW183">
        <v>6</v>
      </c>
      <c r="AX183" t="s">
        <v>74</v>
      </c>
      <c r="AY183" t="s">
        <v>74</v>
      </c>
      <c r="AZ183" t="s">
        <v>74</v>
      </c>
      <c r="BA183" t="s">
        <v>74</v>
      </c>
      <c r="BB183">
        <v>1477</v>
      </c>
      <c r="BC183">
        <v>1497</v>
      </c>
      <c r="BD183" t="s">
        <v>74</v>
      </c>
      <c r="BE183" t="s">
        <v>2543</v>
      </c>
      <c r="BF183" t="str">
        <f>HYPERLINK("http://dx.doi.org/10.1175/1520-0485(2001)031&lt;1477:TAAAIA&gt;2.0.CO;2","http://dx.doi.org/10.1175/1520-0485(2001)031&lt;1477:TAAAIA&gt;2.0.CO;2")</f>
        <v>http://dx.doi.org/10.1175/1520-0485(2001)031&lt;1477:TAAAIA&gt;2.0.CO;2</v>
      </c>
      <c r="BG183" t="s">
        <v>74</v>
      </c>
      <c r="BH183" t="s">
        <v>74</v>
      </c>
      <c r="BI183">
        <v>21</v>
      </c>
      <c r="BJ183" t="s">
        <v>252</v>
      </c>
      <c r="BK183" t="s">
        <v>94</v>
      </c>
      <c r="BL183" t="s">
        <v>252</v>
      </c>
      <c r="BM183" t="s">
        <v>2525</v>
      </c>
      <c r="BN183" t="s">
        <v>74</v>
      </c>
      <c r="BO183" t="s">
        <v>1755</v>
      </c>
      <c r="BP183" t="s">
        <v>74</v>
      </c>
      <c r="BQ183" t="s">
        <v>74</v>
      </c>
      <c r="BR183" t="s">
        <v>97</v>
      </c>
      <c r="BS183" t="s">
        <v>2544</v>
      </c>
      <c r="BT183" t="str">
        <f>HYPERLINK("https%3A%2F%2Fwww.webofscience.com%2Fwos%2Fwoscc%2Ffull-record%2FWOS:000169360500006","View Full Record in Web of Science")</f>
        <v>View Full Record in Web of Science</v>
      </c>
    </row>
    <row r="184" spans="1:72" x14ac:dyDescent="0.15">
      <c r="A184" t="s">
        <v>72</v>
      </c>
      <c r="B184" t="s">
        <v>2545</v>
      </c>
      <c r="C184" t="s">
        <v>74</v>
      </c>
      <c r="D184" t="s">
        <v>74</v>
      </c>
      <c r="E184" t="s">
        <v>74</v>
      </c>
      <c r="F184" t="s">
        <v>2545</v>
      </c>
      <c r="G184" t="s">
        <v>74</v>
      </c>
      <c r="H184" t="s">
        <v>74</v>
      </c>
      <c r="I184" t="s">
        <v>2546</v>
      </c>
      <c r="J184" t="s">
        <v>2417</v>
      </c>
      <c r="K184" t="s">
        <v>74</v>
      </c>
      <c r="L184" t="s">
        <v>74</v>
      </c>
      <c r="M184" t="s">
        <v>77</v>
      </c>
      <c r="N184" t="s">
        <v>78</v>
      </c>
      <c r="O184" t="s">
        <v>74</v>
      </c>
      <c r="P184" t="s">
        <v>74</v>
      </c>
      <c r="Q184" t="s">
        <v>74</v>
      </c>
      <c r="R184" t="s">
        <v>74</v>
      </c>
      <c r="S184" t="s">
        <v>74</v>
      </c>
      <c r="T184" t="s">
        <v>74</v>
      </c>
      <c r="U184" t="s">
        <v>2547</v>
      </c>
      <c r="V184" t="s">
        <v>2548</v>
      </c>
      <c r="W184" t="s">
        <v>2549</v>
      </c>
      <c r="X184" t="s">
        <v>2550</v>
      </c>
      <c r="Y184" t="s">
        <v>2551</v>
      </c>
      <c r="Z184" t="s">
        <v>2552</v>
      </c>
      <c r="AA184" t="s">
        <v>2553</v>
      </c>
      <c r="AB184" t="s">
        <v>2554</v>
      </c>
      <c r="AC184" t="s">
        <v>74</v>
      </c>
      <c r="AD184" t="s">
        <v>74</v>
      </c>
      <c r="AE184" t="s">
        <v>74</v>
      </c>
      <c r="AF184" t="s">
        <v>74</v>
      </c>
      <c r="AG184">
        <v>14</v>
      </c>
      <c r="AH184">
        <v>22</v>
      </c>
      <c r="AI184">
        <v>24</v>
      </c>
      <c r="AJ184">
        <v>0</v>
      </c>
      <c r="AK184">
        <v>1</v>
      </c>
      <c r="AL184" t="s">
        <v>1842</v>
      </c>
      <c r="AM184" t="s">
        <v>1843</v>
      </c>
      <c r="AN184" t="s">
        <v>1844</v>
      </c>
      <c r="AO184" t="s">
        <v>2423</v>
      </c>
      <c r="AP184" t="s">
        <v>2491</v>
      </c>
      <c r="AQ184" t="s">
        <v>74</v>
      </c>
      <c r="AR184" t="s">
        <v>2424</v>
      </c>
      <c r="AS184" t="s">
        <v>2425</v>
      </c>
      <c r="AT184" t="s">
        <v>74</v>
      </c>
      <c r="AU184">
        <v>2001</v>
      </c>
      <c r="AV184">
        <v>31</v>
      </c>
      <c r="AW184">
        <v>8</v>
      </c>
      <c r="AX184" t="s">
        <v>74</v>
      </c>
      <c r="AY184" t="s">
        <v>74</v>
      </c>
      <c r="AZ184" t="s">
        <v>74</v>
      </c>
      <c r="BA184" t="s">
        <v>74</v>
      </c>
      <c r="BB184">
        <v>2019</v>
      </c>
      <c r="BC184">
        <v>2025</v>
      </c>
      <c r="BD184" t="s">
        <v>74</v>
      </c>
      <c r="BE184" t="s">
        <v>2555</v>
      </c>
      <c r="BF184" t="str">
        <f>HYPERLINK("http://dx.doi.org/10.1175/1520-0485(2001)031&lt;2019:BIOTLF&gt;2.0.CO;2","http://dx.doi.org/10.1175/1520-0485(2001)031&lt;2019:BIOTLF&gt;2.0.CO;2")</f>
        <v>http://dx.doi.org/10.1175/1520-0485(2001)031&lt;2019:BIOTLF&gt;2.0.CO;2</v>
      </c>
      <c r="BG184" t="s">
        <v>74</v>
      </c>
      <c r="BH184" t="s">
        <v>74</v>
      </c>
      <c r="BI184">
        <v>7</v>
      </c>
      <c r="BJ184" t="s">
        <v>252</v>
      </c>
      <c r="BK184" t="s">
        <v>94</v>
      </c>
      <c r="BL184" t="s">
        <v>252</v>
      </c>
      <c r="BM184" t="s">
        <v>2556</v>
      </c>
      <c r="BN184" t="s">
        <v>74</v>
      </c>
      <c r="BO184" t="s">
        <v>1755</v>
      </c>
      <c r="BP184" t="s">
        <v>74</v>
      </c>
      <c r="BQ184" t="s">
        <v>74</v>
      </c>
      <c r="BR184" t="s">
        <v>97</v>
      </c>
      <c r="BS184" t="s">
        <v>2557</v>
      </c>
      <c r="BT184" t="str">
        <f>HYPERLINK("https%3A%2F%2Fwww.webofscience.com%2Fwos%2Fwoscc%2Ffull-record%2FWOS:000170394200004","View Full Record in Web of Science")</f>
        <v>View Full Record in Web of Science</v>
      </c>
    </row>
    <row r="185" spans="1:72" x14ac:dyDescent="0.15">
      <c r="A185" t="s">
        <v>72</v>
      </c>
      <c r="B185" t="s">
        <v>2558</v>
      </c>
      <c r="C185" t="s">
        <v>74</v>
      </c>
      <c r="D185" t="s">
        <v>74</v>
      </c>
      <c r="E185" t="s">
        <v>74</v>
      </c>
      <c r="F185" t="s">
        <v>2558</v>
      </c>
      <c r="G185" t="s">
        <v>74</v>
      </c>
      <c r="H185" t="s">
        <v>74</v>
      </c>
      <c r="I185" t="s">
        <v>2559</v>
      </c>
      <c r="J185" t="s">
        <v>2417</v>
      </c>
      <c r="K185" t="s">
        <v>74</v>
      </c>
      <c r="L185" t="s">
        <v>74</v>
      </c>
      <c r="M185" t="s">
        <v>77</v>
      </c>
      <c r="N185" t="s">
        <v>78</v>
      </c>
      <c r="O185" t="s">
        <v>74</v>
      </c>
      <c r="P185" t="s">
        <v>74</v>
      </c>
      <c r="Q185" t="s">
        <v>74</v>
      </c>
      <c r="R185" t="s">
        <v>74</v>
      </c>
      <c r="S185" t="s">
        <v>74</v>
      </c>
      <c r="T185" t="s">
        <v>74</v>
      </c>
      <c r="U185" t="s">
        <v>2560</v>
      </c>
      <c r="V185" t="s">
        <v>2561</v>
      </c>
      <c r="W185" t="s">
        <v>2562</v>
      </c>
      <c r="X185" t="s">
        <v>2563</v>
      </c>
      <c r="Y185" t="s">
        <v>2564</v>
      </c>
      <c r="Z185" t="s">
        <v>74</v>
      </c>
      <c r="AA185" t="s">
        <v>2565</v>
      </c>
      <c r="AB185" t="s">
        <v>2566</v>
      </c>
      <c r="AC185" t="s">
        <v>74</v>
      </c>
      <c r="AD185" t="s">
        <v>74</v>
      </c>
      <c r="AE185" t="s">
        <v>74</v>
      </c>
      <c r="AF185" t="s">
        <v>74</v>
      </c>
      <c r="AG185">
        <v>74</v>
      </c>
      <c r="AH185">
        <v>52</v>
      </c>
      <c r="AI185">
        <v>53</v>
      </c>
      <c r="AJ185">
        <v>0</v>
      </c>
      <c r="AK185">
        <v>8</v>
      </c>
      <c r="AL185" t="s">
        <v>1842</v>
      </c>
      <c r="AM185" t="s">
        <v>1843</v>
      </c>
      <c r="AN185" t="s">
        <v>1844</v>
      </c>
      <c r="AO185" t="s">
        <v>2423</v>
      </c>
      <c r="AP185" t="s">
        <v>74</v>
      </c>
      <c r="AQ185" t="s">
        <v>74</v>
      </c>
      <c r="AR185" t="s">
        <v>2424</v>
      </c>
      <c r="AS185" t="s">
        <v>2425</v>
      </c>
      <c r="AT185" t="s">
        <v>74</v>
      </c>
      <c r="AU185">
        <v>2001</v>
      </c>
      <c r="AV185">
        <v>31</v>
      </c>
      <c r="AW185">
        <v>8</v>
      </c>
      <c r="AX185" t="s">
        <v>74</v>
      </c>
      <c r="AY185" t="s">
        <v>74</v>
      </c>
      <c r="AZ185" t="s">
        <v>74</v>
      </c>
      <c r="BA185" t="s">
        <v>74</v>
      </c>
      <c r="BB185">
        <v>2087</v>
      </c>
      <c r="BC185">
        <v>2107</v>
      </c>
      <c r="BD185" t="s">
        <v>74</v>
      </c>
      <c r="BE185" t="s">
        <v>2567</v>
      </c>
      <c r="BF185" t="str">
        <f>HYPERLINK("http://dx.doi.org/10.1175/1520-0485(2001)031&lt;2087:MSATAP&gt;2.0.CO;2","http://dx.doi.org/10.1175/1520-0485(2001)031&lt;2087:MSATAP&gt;2.0.CO;2")</f>
        <v>http://dx.doi.org/10.1175/1520-0485(2001)031&lt;2087:MSATAP&gt;2.0.CO;2</v>
      </c>
      <c r="BG185" t="s">
        <v>74</v>
      </c>
      <c r="BH185" t="s">
        <v>74</v>
      </c>
      <c r="BI185">
        <v>21</v>
      </c>
      <c r="BJ185" t="s">
        <v>252</v>
      </c>
      <c r="BK185" t="s">
        <v>94</v>
      </c>
      <c r="BL185" t="s">
        <v>252</v>
      </c>
      <c r="BM185" t="s">
        <v>2556</v>
      </c>
      <c r="BN185" t="s">
        <v>74</v>
      </c>
      <c r="BO185" t="s">
        <v>1850</v>
      </c>
      <c r="BP185" t="s">
        <v>74</v>
      </c>
      <c r="BQ185" t="s">
        <v>74</v>
      </c>
      <c r="BR185" t="s">
        <v>97</v>
      </c>
      <c r="BS185" t="s">
        <v>2568</v>
      </c>
      <c r="BT185" t="str">
        <f>HYPERLINK("https%3A%2F%2Fwww.webofscience.com%2Fwos%2Fwoscc%2Ffull-record%2FWOS:000170394200008","View Full Record in Web of Science")</f>
        <v>View Full Record in Web of Science</v>
      </c>
    </row>
    <row r="186" spans="1:72" x14ac:dyDescent="0.15">
      <c r="A186" t="s">
        <v>72</v>
      </c>
      <c r="B186" t="s">
        <v>2569</v>
      </c>
      <c r="C186" t="s">
        <v>74</v>
      </c>
      <c r="D186" t="s">
        <v>74</v>
      </c>
      <c r="E186" t="s">
        <v>74</v>
      </c>
      <c r="F186" t="s">
        <v>2569</v>
      </c>
      <c r="G186" t="s">
        <v>74</v>
      </c>
      <c r="H186" t="s">
        <v>74</v>
      </c>
      <c r="I186" t="s">
        <v>2570</v>
      </c>
      <c r="J186" t="s">
        <v>2417</v>
      </c>
      <c r="K186" t="s">
        <v>74</v>
      </c>
      <c r="L186" t="s">
        <v>74</v>
      </c>
      <c r="M186" t="s">
        <v>77</v>
      </c>
      <c r="N186" t="s">
        <v>78</v>
      </c>
      <c r="O186" t="s">
        <v>74</v>
      </c>
      <c r="P186" t="s">
        <v>74</v>
      </c>
      <c r="Q186" t="s">
        <v>74</v>
      </c>
      <c r="R186" t="s">
        <v>74</v>
      </c>
      <c r="S186" t="s">
        <v>74</v>
      </c>
      <c r="T186" t="s">
        <v>74</v>
      </c>
      <c r="U186" t="s">
        <v>2571</v>
      </c>
      <c r="V186" t="s">
        <v>2572</v>
      </c>
      <c r="W186" t="s">
        <v>2573</v>
      </c>
      <c r="X186" t="s">
        <v>2574</v>
      </c>
      <c r="Y186" t="s">
        <v>2575</v>
      </c>
      <c r="Z186" t="s">
        <v>74</v>
      </c>
      <c r="AA186" t="s">
        <v>2576</v>
      </c>
      <c r="AB186" t="s">
        <v>2577</v>
      </c>
      <c r="AC186" t="s">
        <v>74</v>
      </c>
      <c r="AD186" t="s">
        <v>74</v>
      </c>
      <c r="AE186" t="s">
        <v>74</v>
      </c>
      <c r="AF186" t="s">
        <v>74</v>
      </c>
      <c r="AG186">
        <v>28</v>
      </c>
      <c r="AH186">
        <v>27</v>
      </c>
      <c r="AI186">
        <v>28</v>
      </c>
      <c r="AJ186">
        <v>0</v>
      </c>
      <c r="AK186">
        <v>6</v>
      </c>
      <c r="AL186" t="s">
        <v>1842</v>
      </c>
      <c r="AM186" t="s">
        <v>1843</v>
      </c>
      <c r="AN186" t="s">
        <v>1844</v>
      </c>
      <c r="AO186" t="s">
        <v>2423</v>
      </c>
      <c r="AP186" t="s">
        <v>74</v>
      </c>
      <c r="AQ186" t="s">
        <v>74</v>
      </c>
      <c r="AR186" t="s">
        <v>2424</v>
      </c>
      <c r="AS186" t="s">
        <v>2425</v>
      </c>
      <c r="AT186" t="s">
        <v>74</v>
      </c>
      <c r="AU186">
        <v>2001</v>
      </c>
      <c r="AV186">
        <v>31</v>
      </c>
      <c r="AW186">
        <v>8</v>
      </c>
      <c r="AX186" t="s">
        <v>74</v>
      </c>
      <c r="AY186" t="s">
        <v>74</v>
      </c>
      <c r="AZ186" t="s">
        <v>74</v>
      </c>
      <c r="BA186" t="s">
        <v>74</v>
      </c>
      <c r="BB186">
        <v>2157</v>
      </c>
      <c r="BC186">
        <v>2168</v>
      </c>
      <c r="BD186" t="s">
        <v>74</v>
      </c>
      <c r="BE186" t="s">
        <v>2578</v>
      </c>
      <c r="BF186" t="str">
        <f>HYPERLINK("http://dx.doi.org/10.1175/1520-0485(2001)031&lt;2157:DABWIT&gt;2.0.CO;2","http://dx.doi.org/10.1175/1520-0485(2001)031&lt;2157:DABWIT&gt;2.0.CO;2")</f>
        <v>http://dx.doi.org/10.1175/1520-0485(2001)031&lt;2157:DABWIT&gt;2.0.CO;2</v>
      </c>
      <c r="BG186" t="s">
        <v>74</v>
      </c>
      <c r="BH186" t="s">
        <v>74</v>
      </c>
      <c r="BI186">
        <v>12</v>
      </c>
      <c r="BJ186" t="s">
        <v>252</v>
      </c>
      <c r="BK186" t="s">
        <v>94</v>
      </c>
      <c r="BL186" t="s">
        <v>252</v>
      </c>
      <c r="BM186" t="s">
        <v>2556</v>
      </c>
      <c r="BN186" t="s">
        <v>74</v>
      </c>
      <c r="BO186" t="s">
        <v>2579</v>
      </c>
      <c r="BP186" t="s">
        <v>74</v>
      </c>
      <c r="BQ186" t="s">
        <v>74</v>
      </c>
      <c r="BR186" t="s">
        <v>97</v>
      </c>
      <c r="BS186" t="s">
        <v>2580</v>
      </c>
      <c r="BT186" t="str">
        <f>HYPERLINK("https%3A%2F%2Fwww.webofscience.com%2Fwos%2Fwoscc%2Ffull-record%2FWOS:000170394200011","View Full Record in Web of Science")</f>
        <v>View Full Record in Web of Science</v>
      </c>
    </row>
    <row r="187" spans="1:72" x14ac:dyDescent="0.15">
      <c r="A187" t="s">
        <v>72</v>
      </c>
      <c r="B187" t="s">
        <v>2581</v>
      </c>
      <c r="C187" t="s">
        <v>74</v>
      </c>
      <c r="D187" t="s">
        <v>74</v>
      </c>
      <c r="E187" t="s">
        <v>74</v>
      </c>
      <c r="F187" t="s">
        <v>2581</v>
      </c>
      <c r="G187" t="s">
        <v>74</v>
      </c>
      <c r="H187" t="s">
        <v>74</v>
      </c>
      <c r="I187" t="s">
        <v>2582</v>
      </c>
      <c r="J187" t="s">
        <v>2417</v>
      </c>
      <c r="K187" t="s">
        <v>74</v>
      </c>
      <c r="L187" t="s">
        <v>74</v>
      </c>
      <c r="M187" t="s">
        <v>77</v>
      </c>
      <c r="N187" t="s">
        <v>78</v>
      </c>
      <c r="O187" t="s">
        <v>74</v>
      </c>
      <c r="P187" t="s">
        <v>74</v>
      </c>
      <c r="Q187" t="s">
        <v>74</v>
      </c>
      <c r="R187" t="s">
        <v>74</v>
      </c>
      <c r="S187" t="s">
        <v>74</v>
      </c>
      <c r="T187" t="s">
        <v>74</v>
      </c>
      <c r="U187" t="s">
        <v>2583</v>
      </c>
      <c r="V187" t="s">
        <v>2584</v>
      </c>
      <c r="W187" t="s">
        <v>2585</v>
      </c>
      <c r="X187" t="s">
        <v>2586</v>
      </c>
      <c r="Y187" t="s">
        <v>2587</v>
      </c>
      <c r="Z187" t="s">
        <v>74</v>
      </c>
      <c r="AA187" t="s">
        <v>2588</v>
      </c>
      <c r="AB187" t="s">
        <v>2589</v>
      </c>
      <c r="AC187" t="s">
        <v>74</v>
      </c>
      <c r="AD187" t="s">
        <v>74</v>
      </c>
      <c r="AE187" t="s">
        <v>74</v>
      </c>
      <c r="AF187" t="s">
        <v>74</v>
      </c>
      <c r="AG187">
        <v>25</v>
      </c>
      <c r="AH187">
        <v>117</v>
      </c>
      <c r="AI187">
        <v>125</v>
      </c>
      <c r="AJ187">
        <v>0</v>
      </c>
      <c r="AK187">
        <v>13</v>
      </c>
      <c r="AL187" t="s">
        <v>1842</v>
      </c>
      <c r="AM187" t="s">
        <v>1843</v>
      </c>
      <c r="AN187" t="s">
        <v>1844</v>
      </c>
      <c r="AO187" t="s">
        <v>2423</v>
      </c>
      <c r="AP187" t="s">
        <v>74</v>
      </c>
      <c r="AQ187" t="s">
        <v>74</v>
      </c>
      <c r="AR187" t="s">
        <v>2424</v>
      </c>
      <c r="AS187" t="s">
        <v>2425</v>
      </c>
      <c r="AT187" t="s">
        <v>74</v>
      </c>
      <c r="AU187">
        <v>2001</v>
      </c>
      <c r="AV187">
        <v>31</v>
      </c>
      <c r="AW187">
        <v>8</v>
      </c>
      <c r="AX187" t="s">
        <v>74</v>
      </c>
      <c r="AY187" t="s">
        <v>74</v>
      </c>
      <c r="AZ187" t="s">
        <v>74</v>
      </c>
      <c r="BA187" t="s">
        <v>74</v>
      </c>
      <c r="BB187">
        <v>2186</v>
      </c>
      <c r="BC187">
        <v>2209</v>
      </c>
      <c r="BD187" t="s">
        <v>74</v>
      </c>
      <c r="BE187" t="s">
        <v>2590</v>
      </c>
      <c r="BF187" t="str">
        <f>HYPERLINK("http://dx.doi.org/10.1175/1520-0485(2001)031&lt;2186:ATDGEM&gt;2.0.CO;2","http://dx.doi.org/10.1175/1520-0485(2001)031&lt;2186:ATDGEM&gt;2.0.CO;2")</f>
        <v>http://dx.doi.org/10.1175/1520-0485(2001)031&lt;2186:ATDGEM&gt;2.0.CO;2</v>
      </c>
      <c r="BG187" t="s">
        <v>74</v>
      </c>
      <c r="BH187" t="s">
        <v>74</v>
      </c>
      <c r="BI187">
        <v>24</v>
      </c>
      <c r="BJ187" t="s">
        <v>252</v>
      </c>
      <c r="BK187" t="s">
        <v>94</v>
      </c>
      <c r="BL187" t="s">
        <v>252</v>
      </c>
      <c r="BM187" t="s">
        <v>2556</v>
      </c>
      <c r="BN187" t="s">
        <v>74</v>
      </c>
      <c r="BO187" t="s">
        <v>1850</v>
      </c>
      <c r="BP187" t="s">
        <v>74</v>
      </c>
      <c r="BQ187" t="s">
        <v>74</v>
      </c>
      <c r="BR187" t="s">
        <v>97</v>
      </c>
      <c r="BS187" t="s">
        <v>2591</v>
      </c>
      <c r="BT187" t="str">
        <f>HYPERLINK("https%3A%2F%2Fwww.webofscience.com%2Fwos%2Fwoscc%2Ffull-record%2FWOS:000170394200014","View Full Record in Web of Science")</f>
        <v>View Full Record in Web of Science</v>
      </c>
    </row>
    <row r="188" spans="1:72" x14ac:dyDescent="0.15">
      <c r="A188" t="s">
        <v>72</v>
      </c>
      <c r="B188" t="s">
        <v>2592</v>
      </c>
      <c r="C188" t="s">
        <v>74</v>
      </c>
      <c r="D188" t="s">
        <v>74</v>
      </c>
      <c r="E188" t="s">
        <v>74</v>
      </c>
      <c r="F188" t="s">
        <v>2592</v>
      </c>
      <c r="G188" t="s">
        <v>74</v>
      </c>
      <c r="H188" t="s">
        <v>74</v>
      </c>
      <c r="I188" t="s">
        <v>2593</v>
      </c>
      <c r="J188" t="s">
        <v>2417</v>
      </c>
      <c r="K188" t="s">
        <v>74</v>
      </c>
      <c r="L188" t="s">
        <v>74</v>
      </c>
      <c r="M188" t="s">
        <v>77</v>
      </c>
      <c r="N188" t="s">
        <v>78</v>
      </c>
      <c r="O188" t="s">
        <v>74</v>
      </c>
      <c r="P188" t="s">
        <v>74</v>
      </c>
      <c r="Q188" t="s">
        <v>74</v>
      </c>
      <c r="R188" t="s">
        <v>74</v>
      </c>
      <c r="S188" t="s">
        <v>74</v>
      </c>
      <c r="T188" t="s">
        <v>74</v>
      </c>
      <c r="U188" t="s">
        <v>2594</v>
      </c>
      <c r="V188" t="s">
        <v>2595</v>
      </c>
      <c r="W188" t="s">
        <v>2596</v>
      </c>
      <c r="X188" t="s">
        <v>2597</v>
      </c>
      <c r="Y188" t="s">
        <v>2598</v>
      </c>
      <c r="Z188" t="s">
        <v>74</v>
      </c>
      <c r="AA188" t="s">
        <v>74</v>
      </c>
      <c r="AB188" t="s">
        <v>74</v>
      </c>
      <c r="AC188" t="s">
        <v>74</v>
      </c>
      <c r="AD188" t="s">
        <v>74</v>
      </c>
      <c r="AE188" t="s">
        <v>74</v>
      </c>
      <c r="AF188" t="s">
        <v>74</v>
      </c>
      <c r="AG188">
        <v>30</v>
      </c>
      <c r="AH188">
        <v>3</v>
      </c>
      <c r="AI188">
        <v>5</v>
      </c>
      <c r="AJ188">
        <v>0</v>
      </c>
      <c r="AK188">
        <v>1</v>
      </c>
      <c r="AL188" t="s">
        <v>1842</v>
      </c>
      <c r="AM188" t="s">
        <v>1843</v>
      </c>
      <c r="AN188" t="s">
        <v>1844</v>
      </c>
      <c r="AO188" t="s">
        <v>2423</v>
      </c>
      <c r="AP188" t="s">
        <v>74</v>
      </c>
      <c r="AQ188" t="s">
        <v>74</v>
      </c>
      <c r="AR188" t="s">
        <v>2424</v>
      </c>
      <c r="AS188" t="s">
        <v>2425</v>
      </c>
      <c r="AT188" t="s">
        <v>74</v>
      </c>
      <c r="AU188">
        <v>2001</v>
      </c>
      <c r="AV188">
        <v>31</v>
      </c>
      <c r="AW188">
        <v>10</v>
      </c>
      <c r="AX188" t="s">
        <v>74</v>
      </c>
      <c r="AY188" t="s">
        <v>74</v>
      </c>
      <c r="AZ188" t="s">
        <v>74</v>
      </c>
      <c r="BA188" t="s">
        <v>74</v>
      </c>
      <c r="BB188">
        <v>2809</v>
      </c>
      <c r="BC188">
        <v>2823</v>
      </c>
      <c r="BD188" t="s">
        <v>74</v>
      </c>
      <c r="BE188" t="s">
        <v>2599</v>
      </c>
      <c r="BF188" t="str">
        <f>HYPERLINK("http://dx.doi.org/10.1175/1520-0485(2001)031&lt;2809:ACOMUA&gt;2.0.CO;2","http://dx.doi.org/10.1175/1520-0485(2001)031&lt;2809:ACOMUA&gt;2.0.CO;2")</f>
        <v>http://dx.doi.org/10.1175/1520-0485(2001)031&lt;2809:ACOMUA&gt;2.0.CO;2</v>
      </c>
      <c r="BG188" t="s">
        <v>74</v>
      </c>
      <c r="BH188" t="s">
        <v>74</v>
      </c>
      <c r="BI188">
        <v>15</v>
      </c>
      <c r="BJ188" t="s">
        <v>252</v>
      </c>
      <c r="BK188" t="s">
        <v>94</v>
      </c>
      <c r="BL188" t="s">
        <v>252</v>
      </c>
      <c r="BM188" t="s">
        <v>2600</v>
      </c>
      <c r="BN188" t="s">
        <v>74</v>
      </c>
      <c r="BO188" t="s">
        <v>1850</v>
      </c>
      <c r="BP188" t="s">
        <v>74</v>
      </c>
      <c r="BQ188" t="s">
        <v>74</v>
      </c>
      <c r="BR188" t="s">
        <v>97</v>
      </c>
      <c r="BS188" t="s">
        <v>2601</v>
      </c>
      <c r="BT188" t="str">
        <f>HYPERLINK("https%3A%2F%2Fwww.webofscience.com%2Fwos%2Fwoscc%2Ffull-record%2FWOS:000171346700001","View Full Record in Web of Science")</f>
        <v>View Full Record in Web of Science</v>
      </c>
    </row>
    <row r="189" spans="1:72" x14ac:dyDescent="0.15">
      <c r="A189" t="s">
        <v>72</v>
      </c>
      <c r="B189" t="s">
        <v>2602</v>
      </c>
      <c r="C189" t="s">
        <v>74</v>
      </c>
      <c r="D189" t="s">
        <v>74</v>
      </c>
      <c r="E189" t="s">
        <v>74</v>
      </c>
      <c r="F189" t="s">
        <v>2602</v>
      </c>
      <c r="G189" t="s">
        <v>74</v>
      </c>
      <c r="H189" t="s">
        <v>74</v>
      </c>
      <c r="I189" t="s">
        <v>2603</v>
      </c>
      <c r="J189" t="s">
        <v>2417</v>
      </c>
      <c r="K189" t="s">
        <v>74</v>
      </c>
      <c r="L189" t="s">
        <v>74</v>
      </c>
      <c r="M189" t="s">
        <v>77</v>
      </c>
      <c r="N189" t="s">
        <v>78</v>
      </c>
      <c r="O189" t="s">
        <v>74</v>
      </c>
      <c r="P189" t="s">
        <v>74</v>
      </c>
      <c r="Q189" t="s">
        <v>74</v>
      </c>
      <c r="R189" t="s">
        <v>74</v>
      </c>
      <c r="S189" t="s">
        <v>74</v>
      </c>
      <c r="T189" t="s">
        <v>74</v>
      </c>
      <c r="U189" t="s">
        <v>2604</v>
      </c>
      <c r="V189" t="s">
        <v>2605</v>
      </c>
      <c r="W189" t="s">
        <v>2606</v>
      </c>
      <c r="X189" t="s">
        <v>2607</v>
      </c>
      <c r="Y189" t="s">
        <v>2608</v>
      </c>
      <c r="Z189" t="s">
        <v>2609</v>
      </c>
      <c r="AA189" t="s">
        <v>2610</v>
      </c>
      <c r="AB189" t="s">
        <v>2611</v>
      </c>
      <c r="AC189" t="s">
        <v>74</v>
      </c>
      <c r="AD189" t="s">
        <v>74</v>
      </c>
      <c r="AE189" t="s">
        <v>74</v>
      </c>
      <c r="AF189" t="s">
        <v>74</v>
      </c>
      <c r="AG189">
        <v>47</v>
      </c>
      <c r="AH189">
        <v>105</v>
      </c>
      <c r="AI189">
        <v>114</v>
      </c>
      <c r="AJ189">
        <v>0</v>
      </c>
      <c r="AK189">
        <v>16</v>
      </c>
      <c r="AL189" t="s">
        <v>1842</v>
      </c>
      <c r="AM189" t="s">
        <v>1843</v>
      </c>
      <c r="AN189" t="s">
        <v>1844</v>
      </c>
      <c r="AO189" t="s">
        <v>2423</v>
      </c>
      <c r="AP189" t="s">
        <v>2491</v>
      </c>
      <c r="AQ189" t="s">
        <v>74</v>
      </c>
      <c r="AR189" t="s">
        <v>2424</v>
      </c>
      <c r="AS189" t="s">
        <v>2425</v>
      </c>
      <c r="AT189" t="s">
        <v>74</v>
      </c>
      <c r="AU189">
        <v>2001</v>
      </c>
      <c r="AV189">
        <v>31</v>
      </c>
      <c r="AW189">
        <v>10</v>
      </c>
      <c r="AX189" t="s">
        <v>74</v>
      </c>
      <c r="AY189" t="s">
        <v>74</v>
      </c>
      <c r="AZ189" t="s">
        <v>74</v>
      </c>
      <c r="BA189" t="s">
        <v>74</v>
      </c>
      <c r="BB189">
        <v>2871</v>
      </c>
      <c r="BC189">
        <v>2885</v>
      </c>
      <c r="BD189" t="s">
        <v>74</v>
      </c>
      <c r="BE189" t="s">
        <v>2612</v>
      </c>
      <c r="BF189" t="str">
        <f>HYPERLINK("http://dx.doi.org/10.1175/1520-0485(2001)031&lt;2871:WWBCIR&gt;2.0.CO;2","http://dx.doi.org/10.1175/1520-0485(2001)031&lt;2871:WWBCIR&gt;2.0.CO;2")</f>
        <v>http://dx.doi.org/10.1175/1520-0485(2001)031&lt;2871:WWBCIR&gt;2.0.CO;2</v>
      </c>
      <c r="BG189" t="s">
        <v>74</v>
      </c>
      <c r="BH189" t="s">
        <v>74</v>
      </c>
      <c r="BI189">
        <v>15</v>
      </c>
      <c r="BJ189" t="s">
        <v>252</v>
      </c>
      <c r="BK189" t="s">
        <v>94</v>
      </c>
      <c r="BL189" t="s">
        <v>252</v>
      </c>
      <c r="BM189" t="s">
        <v>2600</v>
      </c>
      <c r="BN189" t="s">
        <v>74</v>
      </c>
      <c r="BO189" t="s">
        <v>1755</v>
      </c>
      <c r="BP189" t="s">
        <v>74</v>
      </c>
      <c r="BQ189" t="s">
        <v>74</v>
      </c>
      <c r="BR189" t="s">
        <v>97</v>
      </c>
      <c r="BS189" t="s">
        <v>2613</v>
      </c>
      <c r="BT189" t="str">
        <f>HYPERLINK("https%3A%2F%2Fwww.webofscience.com%2Fwos%2Fwoscc%2Ffull-record%2FWOS:000171346700005","View Full Record in Web of Science")</f>
        <v>View Full Record in Web of Science</v>
      </c>
    </row>
    <row r="190" spans="1:72" x14ac:dyDescent="0.15">
      <c r="A190" t="s">
        <v>72</v>
      </c>
      <c r="B190" t="s">
        <v>2614</v>
      </c>
      <c r="C190" t="s">
        <v>74</v>
      </c>
      <c r="D190" t="s">
        <v>74</v>
      </c>
      <c r="E190" t="s">
        <v>74</v>
      </c>
      <c r="F190" t="s">
        <v>2614</v>
      </c>
      <c r="G190" t="s">
        <v>74</v>
      </c>
      <c r="H190" t="s">
        <v>74</v>
      </c>
      <c r="I190" t="s">
        <v>2615</v>
      </c>
      <c r="J190" t="s">
        <v>2417</v>
      </c>
      <c r="K190" t="s">
        <v>74</v>
      </c>
      <c r="L190" t="s">
        <v>74</v>
      </c>
      <c r="M190" t="s">
        <v>77</v>
      </c>
      <c r="N190" t="s">
        <v>78</v>
      </c>
      <c r="O190" t="s">
        <v>74</v>
      </c>
      <c r="P190" t="s">
        <v>74</v>
      </c>
      <c r="Q190" t="s">
        <v>74</v>
      </c>
      <c r="R190" t="s">
        <v>74</v>
      </c>
      <c r="S190" t="s">
        <v>74</v>
      </c>
      <c r="T190" t="s">
        <v>74</v>
      </c>
      <c r="U190" t="s">
        <v>2616</v>
      </c>
      <c r="V190" t="s">
        <v>2617</v>
      </c>
      <c r="W190" t="s">
        <v>2618</v>
      </c>
      <c r="X190" t="s">
        <v>2619</v>
      </c>
      <c r="Y190" t="s">
        <v>2620</v>
      </c>
      <c r="Z190" t="s">
        <v>74</v>
      </c>
      <c r="AA190" t="s">
        <v>2621</v>
      </c>
      <c r="AB190" t="s">
        <v>2622</v>
      </c>
      <c r="AC190" t="s">
        <v>74</v>
      </c>
      <c r="AD190" t="s">
        <v>74</v>
      </c>
      <c r="AE190" t="s">
        <v>74</v>
      </c>
      <c r="AF190" t="s">
        <v>74</v>
      </c>
      <c r="AG190">
        <v>40</v>
      </c>
      <c r="AH190">
        <v>69</v>
      </c>
      <c r="AI190">
        <v>73</v>
      </c>
      <c r="AJ190">
        <v>1</v>
      </c>
      <c r="AK190">
        <v>8</v>
      </c>
      <c r="AL190" t="s">
        <v>1842</v>
      </c>
      <c r="AM190" t="s">
        <v>1843</v>
      </c>
      <c r="AN190" t="s">
        <v>1844</v>
      </c>
      <c r="AO190" t="s">
        <v>2423</v>
      </c>
      <c r="AP190" t="s">
        <v>74</v>
      </c>
      <c r="AQ190" t="s">
        <v>74</v>
      </c>
      <c r="AR190" t="s">
        <v>2424</v>
      </c>
      <c r="AS190" t="s">
        <v>2425</v>
      </c>
      <c r="AT190" t="s">
        <v>74</v>
      </c>
      <c r="AU190">
        <v>2001</v>
      </c>
      <c r="AV190">
        <v>31</v>
      </c>
      <c r="AW190">
        <v>11</v>
      </c>
      <c r="AX190" t="s">
        <v>74</v>
      </c>
      <c r="AY190" t="s">
        <v>74</v>
      </c>
      <c r="AZ190" t="s">
        <v>74</v>
      </c>
      <c r="BA190" t="s">
        <v>74</v>
      </c>
      <c r="BB190">
        <v>3258</v>
      </c>
      <c r="BC190">
        <v>3273</v>
      </c>
      <c r="BD190" t="s">
        <v>74</v>
      </c>
      <c r="BE190" t="s">
        <v>2623</v>
      </c>
      <c r="BF190" t="str">
        <f>HYPERLINK("http://dx.doi.org/10.1175/1520-0485(2001)031&lt;3258:OTDOWD&gt;2.0.CO;2","http://dx.doi.org/10.1175/1520-0485(2001)031&lt;3258:OTDOWD&gt;2.0.CO;2")</f>
        <v>http://dx.doi.org/10.1175/1520-0485(2001)031&lt;3258:OTDOWD&gt;2.0.CO;2</v>
      </c>
      <c r="BG190" t="s">
        <v>74</v>
      </c>
      <c r="BH190" t="s">
        <v>74</v>
      </c>
      <c r="BI190">
        <v>16</v>
      </c>
      <c r="BJ190" t="s">
        <v>252</v>
      </c>
      <c r="BK190" t="s">
        <v>94</v>
      </c>
      <c r="BL190" t="s">
        <v>252</v>
      </c>
      <c r="BM190" t="s">
        <v>2624</v>
      </c>
      <c r="BN190" t="s">
        <v>74</v>
      </c>
      <c r="BO190" t="s">
        <v>1850</v>
      </c>
      <c r="BP190" t="s">
        <v>74</v>
      </c>
      <c r="BQ190" t="s">
        <v>74</v>
      </c>
      <c r="BR190" t="s">
        <v>97</v>
      </c>
      <c r="BS190" t="s">
        <v>2625</v>
      </c>
      <c r="BT190" t="str">
        <f>HYPERLINK("https%3A%2F%2Fwww.webofscience.com%2Fwos%2Fwoscc%2Ffull-record%2FWOS:000171881400009","View Full Record in Web of Science")</f>
        <v>View Full Record in Web of Science</v>
      </c>
    </row>
    <row r="191" spans="1:72" x14ac:dyDescent="0.15">
      <c r="A191" t="s">
        <v>72</v>
      </c>
      <c r="B191" t="s">
        <v>2614</v>
      </c>
      <c r="C191" t="s">
        <v>74</v>
      </c>
      <c r="D191" t="s">
        <v>74</v>
      </c>
      <c r="E191" t="s">
        <v>74</v>
      </c>
      <c r="F191" t="s">
        <v>2614</v>
      </c>
      <c r="G191" t="s">
        <v>74</v>
      </c>
      <c r="H191" t="s">
        <v>74</v>
      </c>
      <c r="I191" t="s">
        <v>2626</v>
      </c>
      <c r="J191" t="s">
        <v>2417</v>
      </c>
      <c r="K191" t="s">
        <v>74</v>
      </c>
      <c r="L191" t="s">
        <v>74</v>
      </c>
      <c r="M191" t="s">
        <v>77</v>
      </c>
      <c r="N191" t="s">
        <v>78</v>
      </c>
      <c r="O191" t="s">
        <v>74</v>
      </c>
      <c r="P191" t="s">
        <v>74</v>
      </c>
      <c r="Q191" t="s">
        <v>74</v>
      </c>
      <c r="R191" t="s">
        <v>74</v>
      </c>
      <c r="S191" t="s">
        <v>74</v>
      </c>
      <c r="T191" t="s">
        <v>74</v>
      </c>
      <c r="U191" t="s">
        <v>2627</v>
      </c>
      <c r="V191" t="s">
        <v>2628</v>
      </c>
      <c r="W191" t="s">
        <v>2618</v>
      </c>
      <c r="X191" t="s">
        <v>2619</v>
      </c>
      <c r="Y191" t="s">
        <v>2629</v>
      </c>
      <c r="Z191" t="s">
        <v>74</v>
      </c>
      <c r="AA191" t="s">
        <v>2621</v>
      </c>
      <c r="AB191" t="s">
        <v>2622</v>
      </c>
      <c r="AC191" t="s">
        <v>74</v>
      </c>
      <c r="AD191" t="s">
        <v>74</v>
      </c>
      <c r="AE191" t="s">
        <v>74</v>
      </c>
      <c r="AF191" t="s">
        <v>74</v>
      </c>
      <c r="AG191">
        <v>29</v>
      </c>
      <c r="AH191">
        <v>37</v>
      </c>
      <c r="AI191">
        <v>40</v>
      </c>
      <c r="AJ191">
        <v>2</v>
      </c>
      <c r="AK191">
        <v>4</v>
      </c>
      <c r="AL191" t="s">
        <v>1842</v>
      </c>
      <c r="AM191" t="s">
        <v>1843</v>
      </c>
      <c r="AN191" t="s">
        <v>1844</v>
      </c>
      <c r="AO191" t="s">
        <v>2423</v>
      </c>
      <c r="AP191" t="s">
        <v>74</v>
      </c>
      <c r="AQ191" t="s">
        <v>74</v>
      </c>
      <c r="AR191" t="s">
        <v>2424</v>
      </c>
      <c r="AS191" t="s">
        <v>2425</v>
      </c>
      <c r="AT191" t="s">
        <v>74</v>
      </c>
      <c r="AU191">
        <v>2001</v>
      </c>
      <c r="AV191">
        <v>31</v>
      </c>
      <c r="AW191">
        <v>11</v>
      </c>
      <c r="AX191" t="s">
        <v>74</v>
      </c>
      <c r="AY191" t="s">
        <v>74</v>
      </c>
      <c r="AZ191" t="s">
        <v>74</v>
      </c>
      <c r="BA191" t="s">
        <v>74</v>
      </c>
      <c r="BB191">
        <v>3274</v>
      </c>
      <c r="BC191">
        <v>3283</v>
      </c>
      <c r="BD191" t="s">
        <v>74</v>
      </c>
      <c r="BE191" t="s">
        <v>2630</v>
      </c>
      <c r="BF191" t="str">
        <f>HYPERLINK("http://dx.doi.org/10.1175/1520-0485(2001)031&lt;3274:FPACOA&gt;2.0.CO;2","http://dx.doi.org/10.1175/1520-0485(2001)031&lt;3274:FPACOA&gt;2.0.CO;2")</f>
        <v>http://dx.doi.org/10.1175/1520-0485(2001)031&lt;3274:FPACOA&gt;2.0.CO;2</v>
      </c>
      <c r="BG191" t="s">
        <v>74</v>
      </c>
      <c r="BH191" t="s">
        <v>74</v>
      </c>
      <c r="BI191">
        <v>10</v>
      </c>
      <c r="BJ191" t="s">
        <v>252</v>
      </c>
      <c r="BK191" t="s">
        <v>94</v>
      </c>
      <c r="BL191" t="s">
        <v>252</v>
      </c>
      <c r="BM191" t="s">
        <v>2624</v>
      </c>
      <c r="BN191" t="s">
        <v>74</v>
      </c>
      <c r="BO191" t="s">
        <v>1755</v>
      </c>
      <c r="BP191" t="s">
        <v>74</v>
      </c>
      <c r="BQ191" t="s">
        <v>74</v>
      </c>
      <c r="BR191" t="s">
        <v>97</v>
      </c>
      <c r="BS191" t="s">
        <v>2631</v>
      </c>
      <c r="BT191" t="str">
        <f>HYPERLINK("https%3A%2F%2Fwww.webofscience.com%2Fwos%2Fwoscc%2Ffull-record%2FWOS:000171881400010","View Full Record in Web of Science")</f>
        <v>View Full Record in Web of Science</v>
      </c>
    </row>
    <row r="192" spans="1:72" x14ac:dyDescent="0.15">
      <c r="A192" t="s">
        <v>72</v>
      </c>
      <c r="B192" t="s">
        <v>2632</v>
      </c>
      <c r="C192" t="s">
        <v>74</v>
      </c>
      <c r="D192" t="s">
        <v>74</v>
      </c>
      <c r="E192" t="s">
        <v>74</v>
      </c>
      <c r="F192" t="s">
        <v>2632</v>
      </c>
      <c r="G192" t="s">
        <v>74</v>
      </c>
      <c r="H192" t="s">
        <v>74</v>
      </c>
      <c r="I192" t="s">
        <v>2633</v>
      </c>
      <c r="J192" t="s">
        <v>2417</v>
      </c>
      <c r="K192" t="s">
        <v>74</v>
      </c>
      <c r="L192" t="s">
        <v>74</v>
      </c>
      <c r="M192" t="s">
        <v>77</v>
      </c>
      <c r="N192" t="s">
        <v>78</v>
      </c>
      <c r="O192" t="s">
        <v>74</v>
      </c>
      <c r="P192" t="s">
        <v>74</v>
      </c>
      <c r="Q192" t="s">
        <v>74</v>
      </c>
      <c r="R192" t="s">
        <v>74</v>
      </c>
      <c r="S192" t="s">
        <v>74</v>
      </c>
      <c r="T192" t="s">
        <v>74</v>
      </c>
      <c r="U192" t="s">
        <v>2634</v>
      </c>
      <c r="V192" t="s">
        <v>2635</v>
      </c>
      <c r="W192" t="s">
        <v>2636</v>
      </c>
      <c r="X192" t="s">
        <v>2637</v>
      </c>
      <c r="Y192" t="s">
        <v>2638</v>
      </c>
      <c r="Z192" t="s">
        <v>2639</v>
      </c>
      <c r="AA192" t="s">
        <v>2640</v>
      </c>
      <c r="AB192" t="s">
        <v>2641</v>
      </c>
      <c r="AC192" t="s">
        <v>74</v>
      </c>
      <c r="AD192" t="s">
        <v>74</v>
      </c>
      <c r="AE192" t="s">
        <v>74</v>
      </c>
      <c r="AF192" t="s">
        <v>74</v>
      </c>
      <c r="AG192">
        <v>34</v>
      </c>
      <c r="AH192">
        <v>25</v>
      </c>
      <c r="AI192">
        <v>26</v>
      </c>
      <c r="AJ192">
        <v>0</v>
      </c>
      <c r="AK192">
        <v>13</v>
      </c>
      <c r="AL192" t="s">
        <v>1842</v>
      </c>
      <c r="AM192" t="s">
        <v>1843</v>
      </c>
      <c r="AN192" t="s">
        <v>2011</v>
      </c>
      <c r="AO192" t="s">
        <v>2423</v>
      </c>
      <c r="AP192" t="s">
        <v>2491</v>
      </c>
      <c r="AQ192" t="s">
        <v>74</v>
      </c>
      <c r="AR192" t="s">
        <v>2424</v>
      </c>
      <c r="AS192" t="s">
        <v>2425</v>
      </c>
      <c r="AT192" t="s">
        <v>74</v>
      </c>
      <c r="AU192">
        <v>2001</v>
      </c>
      <c r="AV192">
        <v>31</v>
      </c>
      <c r="AW192">
        <v>11</v>
      </c>
      <c r="AX192" t="s">
        <v>74</v>
      </c>
      <c r="AY192" t="s">
        <v>74</v>
      </c>
      <c r="AZ192" t="s">
        <v>74</v>
      </c>
      <c r="BA192" t="s">
        <v>74</v>
      </c>
      <c r="BB192">
        <v>3295</v>
      </c>
      <c r="BC192">
        <v>3311</v>
      </c>
      <c r="BD192" t="s">
        <v>74</v>
      </c>
      <c r="BE192" t="s">
        <v>2642</v>
      </c>
      <c r="BF192" t="str">
        <f>HYPERLINK("http://dx.doi.org/10.1175/1520-0485(2001)031&lt;3295:AIWMFI&gt;2.0.CO;2","http://dx.doi.org/10.1175/1520-0485(2001)031&lt;3295:AIWMFI&gt;2.0.CO;2")</f>
        <v>http://dx.doi.org/10.1175/1520-0485(2001)031&lt;3295:AIWMFI&gt;2.0.CO;2</v>
      </c>
      <c r="BG192" t="s">
        <v>74</v>
      </c>
      <c r="BH192" t="s">
        <v>74</v>
      </c>
      <c r="BI192">
        <v>17</v>
      </c>
      <c r="BJ192" t="s">
        <v>252</v>
      </c>
      <c r="BK192" t="s">
        <v>94</v>
      </c>
      <c r="BL192" t="s">
        <v>252</v>
      </c>
      <c r="BM192" t="s">
        <v>2624</v>
      </c>
      <c r="BN192" t="s">
        <v>74</v>
      </c>
      <c r="BO192" t="s">
        <v>2579</v>
      </c>
      <c r="BP192" t="s">
        <v>74</v>
      </c>
      <c r="BQ192" t="s">
        <v>74</v>
      </c>
      <c r="BR192" t="s">
        <v>97</v>
      </c>
      <c r="BS192" t="s">
        <v>2643</v>
      </c>
      <c r="BT192" t="str">
        <f>HYPERLINK("https%3A%2F%2Fwww.webofscience.com%2Fwos%2Fwoscc%2Ffull-record%2FWOS:000171881400012","View Full Record in Web of Science")</f>
        <v>View Full Record in Web of Science</v>
      </c>
    </row>
    <row r="193" spans="1:72" x14ac:dyDescent="0.15">
      <c r="A193" t="s">
        <v>72</v>
      </c>
      <c r="B193" t="s">
        <v>2644</v>
      </c>
      <c r="C193" t="s">
        <v>74</v>
      </c>
      <c r="D193" t="s">
        <v>74</v>
      </c>
      <c r="E193" t="s">
        <v>74</v>
      </c>
      <c r="F193" t="s">
        <v>2644</v>
      </c>
      <c r="G193" t="s">
        <v>74</v>
      </c>
      <c r="H193" t="s">
        <v>74</v>
      </c>
      <c r="I193" t="s">
        <v>2645</v>
      </c>
      <c r="J193" t="s">
        <v>2417</v>
      </c>
      <c r="K193" t="s">
        <v>74</v>
      </c>
      <c r="L193" t="s">
        <v>74</v>
      </c>
      <c r="M193" t="s">
        <v>77</v>
      </c>
      <c r="N193" t="s">
        <v>78</v>
      </c>
      <c r="O193" t="s">
        <v>74</v>
      </c>
      <c r="P193" t="s">
        <v>74</v>
      </c>
      <c r="Q193" t="s">
        <v>74</v>
      </c>
      <c r="R193" t="s">
        <v>74</v>
      </c>
      <c r="S193" t="s">
        <v>74</v>
      </c>
      <c r="T193" t="s">
        <v>74</v>
      </c>
      <c r="U193" t="s">
        <v>2646</v>
      </c>
      <c r="V193" t="s">
        <v>2647</v>
      </c>
      <c r="W193" t="s">
        <v>2648</v>
      </c>
      <c r="X193" t="s">
        <v>2649</v>
      </c>
      <c r="Y193" t="s">
        <v>2650</v>
      </c>
      <c r="Z193" t="s">
        <v>2651</v>
      </c>
      <c r="AA193" t="s">
        <v>2652</v>
      </c>
      <c r="AB193" t="s">
        <v>2653</v>
      </c>
      <c r="AC193" t="s">
        <v>74</v>
      </c>
      <c r="AD193" t="s">
        <v>74</v>
      </c>
      <c r="AE193" t="s">
        <v>74</v>
      </c>
      <c r="AF193" t="s">
        <v>74</v>
      </c>
      <c r="AG193">
        <v>53</v>
      </c>
      <c r="AH193">
        <v>97</v>
      </c>
      <c r="AI193">
        <v>111</v>
      </c>
      <c r="AJ193">
        <v>0</v>
      </c>
      <c r="AK193">
        <v>11</v>
      </c>
      <c r="AL193" t="s">
        <v>1842</v>
      </c>
      <c r="AM193" t="s">
        <v>1843</v>
      </c>
      <c r="AN193" t="s">
        <v>1844</v>
      </c>
      <c r="AO193" t="s">
        <v>2423</v>
      </c>
      <c r="AP193" t="s">
        <v>2491</v>
      </c>
      <c r="AQ193" t="s">
        <v>74</v>
      </c>
      <c r="AR193" t="s">
        <v>2424</v>
      </c>
      <c r="AS193" t="s">
        <v>2425</v>
      </c>
      <c r="AT193" t="s">
        <v>74</v>
      </c>
      <c r="AU193">
        <v>2001</v>
      </c>
      <c r="AV193">
        <v>31</v>
      </c>
      <c r="AW193">
        <v>11</v>
      </c>
      <c r="AX193" t="s">
        <v>74</v>
      </c>
      <c r="AY193" t="s">
        <v>74</v>
      </c>
      <c r="AZ193" t="s">
        <v>74</v>
      </c>
      <c r="BA193" t="s">
        <v>74</v>
      </c>
      <c r="BB193">
        <v>3312</v>
      </c>
      <c r="BC193">
        <v>3330</v>
      </c>
      <c r="BD193" t="s">
        <v>74</v>
      </c>
      <c r="BE193" t="s">
        <v>2654</v>
      </c>
      <c r="BF193" t="str">
        <f>HYPERLINK("http://dx.doi.org/10.1175/1520-0485(2001)031&lt;3312:AEOTRO&gt;2.0.CO;2","http://dx.doi.org/10.1175/1520-0485(2001)031&lt;3312:AEOTRO&gt;2.0.CO;2")</f>
        <v>http://dx.doi.org/10.1175/1520-0485(2001)031&lt;3312:AEOTRO&gt;2.0.CO;2</v>
      </c>
      <c r="BG193" t="s">
        <v>74</v>
      </c>
      <c r="BH193" t="s">
        <v>74</v>
      </c>
      <c r="BI193">
        <v>19</v>
      </c>
      <c r="BJ193" t="s">
        <v>252</v>
      </c>
      <c r="BK193" t="s">
        <v>94</v>
      </c>
      <c r="BL193" t="s">
        <v>252</v>
      </c>
      <c r="BM193" t="s">
        <v>2624</v>
      </c>
      <c r="BN193" t="s">
        <v>74</v>
      </c>
      <c r="BO193" t="s">
        <v>1755</v>
      </c>
      <c r="BP193" t="s">
        <v>74</v>
      </c>
      <c r="BQ193" t="s">
        <v>74</v>
      </c>
      <c r="BR193" t="s">
        <v>97</v>
      </c>
      <c r="BS193" t="s">
        <v>2655</v>
      </c>
      <c r="BT193" t="str">
        <f>HYPERLINK("https%3A%2F%2Fwww.webofscience.com%2Fwos%2Fwoscc%2Ffull-record%2FWOS:000171881400013","View Full Record in Web of Science")</f>
        <v>View Full Record in Web of Science</v>
      </c>
    </row>
    <row r="194" spans="1:72" x14ac:dyDescent="0.15">
      <c r="A194" t="s">
        <v>72</v>
      </c>
      <c r="B194" t="s">
        <v>2656</v>
      </c>
      <c r="C194" t="s">
        <v>74</v>
      </c>
      <c r="D194" t="s">
        <v>74</v>
      </c>
      <c r="E194" t="s">
        <v>74</v>
      </c>
      <c r="F194" t="s">
        <v>2656</v>
      </c>
      <c r="G194" t="s">
        <v>74</v>
      </c>
      <c r="H194" t="s">
        <v>74</v>
      </c>
      <c r="I194" t="s">
        <v>2657</v>
      </c>
      <c r="J194" t="s">
        <v>2417</v>
      </c>
      <c r="K194" t="s">
        <v>74</v>
      </c>
      <c r="L194" t="s">
        <v>74</v>
      </c>
      <c r="M194" t="s">
        <v>77</v>
      </c>
      <c r="N194" t="s">
        <v>78</v>
      </c>
      <c r="O194" t="s">
        <v>74</v>
      </c>
      <c r="P194" t="s">
        <v>74</v>
      </c>
      <c r="Q194" t="s">
        <v>74</v>
      </c>
      <c r="R194" t="s">
        <v>74</v>
      </c>
      <c r="S194" t="s">
        <v>74</v>
      </c>
      <c r="T194" t="s">
        <v>74</v>
      </c>
      <c r="U194" t="s">
        <v>2658</v>
      </c>
      <c r="V194" t="s">
        <v>2659</v>
      </c>
      <c r="W194" t="s">
        <v>2660</v>
      </c>
      <c r="X194" t="s">
        <v>2661</v>
      </c>
      <c r="Y194" t="s">
        <v>2662</v>
      </c>
      <c r="Z194" t="s">
        <v>74</v>
      </c>
      <c r="AA194" t="s">
        <v>74</v>
      </c>
      <c r="AB194" t="s">
        <v>74</v>
      </c>
      <c r="AC194" t="s">
        <v>74</v>
      </c>
      <c r="AD194" t="s">
        <v>74</v>
      </c>
      <c r="AE194" t="s">
        <v>74</v>
      </c>
      <c r="AF194" t="s">
        <v>74</v>
      </c>
      <c r="AG194">
        <v>29</v>
      </c>
      <c r="AH194">
        <v>60</v>
      </c>
      <c r="AI194">
        <v>67</v>
      </c>
      <c r="AJ194">
        <v>1</v>
      </c>
      <c r="AK194">
        <v>11</v>
      </c>
      <c r="AL194" t="s">
        <v>1842</v>
      </c>
      <c r="AM194" t="s">
        <v>1843</v>
      </c>
      <c r="AN194" t="s">
        <v>1844</v>
      </c>
      <c r="AO194" t="s">
        <v>2423</v>
      </c>
      <c r="AP194" t="s">
        <v>74</v>
      </c>
      <c r="AQ194" t="s">
        <v>74</v>
      </c>
      <c r="AR194" t="s">
        <v>2424</v>
      </c>
      <c r="AS194" t="s">
        <v>2425</v>
      </c>
      <c r="AT194" t="s">
        <v>74</v>
      </c>
      <c r="AU194">
        <v>2001</v>
      </c>
      <c r="AV194">
        <v>31</v>
      </c>
      <c r="AW194">
        <v>11</v>
      </c>
      <c r="AX194" t="s">
        <v>74</v>
      </c>
      <c r="AY194" t="s">
        <v>74</v>
      </c>
      <c r="AZ194" t="s">
        <v>74</v>
      </c>
      <c r="BA194" t="s">
        <v>74</v>
      </c>
      <c r="BB194">
        <v>3331</v>
      </c>
      <c r="BC194">
        <v>3348</v>
      </c>
      <c r="BD194" t="s">
        <v>74</v>
      </c>
      <c r="BE194" t="s">
        <v>2663</v>
      </c>
      <c r="BF194" t="str">
        <f>HYPERLINK("http://dx.doi.org/10.1175/1520-0485(2001)031&lt;3331:AMITBB&gt;2.0.CO;2","http://dx.doi.org/10.1175/1520-0485(2001)031&lt;3331:AMITBB&gt;2.0.CO;2")</f>
        <v>http://dx.doi.org/10.1175/1520-0485(2001)031&lt;3331:AMITBB&gt;2.0.CO;2</v>
      </c>
      <c r="BG194" t="s">
        <v>74</v>
      </c>
      <c r="BH194" t="s">
        <v>74</v>
      </c>
      <c r="BI194">
        <v>18</v>
      </c>
      <c r="BJ194" t="s">
        <v>252</v>
      </c>
      <c r="BK194" t="s">
        <v>94</v>
      </c>
      <c r="BL194" t="s">
        <v>252</v>
      </c>
      <c r="BM194" t="s">
        <v>2624</v>
      </c>
      <c r="BN194" t="s">
        <v>74</v>
      </c>
      <c r="BO194" t="s">
        <v>1755</v>
      </c>
      <c r="BP194" t="s">
        <v>74</v>
      </c>
      <c r="BQ194" t="s">
        <v>74</v>
      </c>
      <c r="BR194" t="s">
        <v>97</v>
      </c>
      <c r="BS194" t="s">
        <v>2664</v>
      </c>
      <c r="BT194" t="str">
        <f>HYPERLINK("https%3A%2F%2Fwww.webofscience.com%2Fwos%2Fwoscc%2Ffull-record%2FWOS:000171881400014","View Full Record in Web of Science")</f>
        <v>View Full Record in Web of Science</v>
      </c>
    </row>
    <row r="195" spans="1:72" x14ac:dyDescent="0.15">
      <c r="A195" t="s">
        <v>72</v>
      </c>
      <c r="B195" t="s">
        <v>2665</v>
      </c>
      <c r="C195" t="s">
        <v>74</v>
      </c>
      <c r="D195" t="s">
        <v>74</v>
      </c>
      <c r="E195" t="s">
        <v>74</v>
      </c>
      <c r="F195" t="s">
        <v>2665</v>
      </c>
      <c r="G195" t="s">
        <v>74</v>
      </c>
      <c r="H195" t="s">
        <v>74</v>
      </c>
      <c r="I195" t="s">
        <v>2666</v>
      </c>
      <c r="J195" t="s">
        <v>2667</v>
      </c>
      <c r="K195" t="s">
        <v>74</v>
      </c>
      <c r="L195" t="s">
        <v>74</v>
      </c>
      <c r="M195" t="s">
        <v>77</v>
      </c>
      <c r="N195" t="s">
        <v>78</v>
      </c>
      <c r="O195" t="s">
        <v>74</v>
      </c>
      <c r="P195" t="s">
        <v>74</v>
      </c>
      <c r="Q195" t="s">
        <v>74</v>
      </c>
      <c r="R195" t="s">
        <v>74</v>
      </c>
      <c r="S195" t="s">
        <v>74</v>
      </c>
      <c r="T195" t="s">
        <v>74</v>
      </c>
      <c r="U195" t="s">
        <v>2668</v>
      </c>
      <c r="V195" t="s">
        <v>2669</v>
      </c>
      <c r="W195" t="s">
        <v>2670</v>
      </c>
      <c r="X195" t="s">
        <v>2671</v>
      </c>
      <c r="Y195" t="s">
        <v>2672</v>
      </c>
      <c r="Z195" t="s">
        <v>2673</v>
      </c>
      <c r="AA195" t="s">
        <v>2674</v>
      </c>
      <c r="AB195" t="s">
        <v>2675</v>
      </c>
      <c r="AC195" t="s">
        <v>74</v>
      </c>
      <c r="AD195" t="s">
        <v>74</v>
      </c>
      <c r="AE195" t="s">
        <v>74</v>
      </c>
      <c r="AF195" t="s">
        <v>74</v>
      </c>
      <c r="AG195">
        <v>79</v>
      </c>
      <c r="AH195">
        <v>14</v>
      </c>
      <c r="AI195">
        <v>15</v>
      </c>
      <c r="AJ195">
        <v>0</v>
      </c>
      <c r="AK195">
        <v>2</v>
      </c>
      <c r="AL195" t="s">
        <v>2676</v>
      </c>
      <c r="AM195" t="s">
        <v>2677</v>
      </c>
      <c r="AN195" t="s">
        <v>2678</v>
      </c>
      <c r="AO195" t="s">
        <v>2679</v>
      </c>
      <c r="AP195" t="s">
        <v>74</v>
      </c>
      <c r="AQ195" t="s">
        <v>74</v>
      </c>
      <c r="AR195" t="s">
        <v>2680</v>
      </c>
      <c r="AS195" t="s">
        <v>2681</v>
      </c>
      <c r="AT195" t="s">
        <v>91</v>
      </c>
      <c r="AU195">
        <v>2001</v>
      </c>
      <c r="AV195">
        <v>71</v>
      </c>
      <c r="AW195">
        <v>1</v>
      </c>
      <c r="AX195" t="s">
        <v>2682</v>
      </c>
      <c r="AY195" t="s">
        <v>74</v>
      </c>
      <c r="AZ195" t="s">
        <v>74</v>
      </c>
      <c r="BA195" t="s">
        <v>74</v>
      </c>
      <c r="BB195">
        <v>88</v>
      </c>
      <c r="BC195">
        <v>100</v>
      </c>
      <c r="BD195" t="s">
        <v>74</v>
      </c>
      <c r="BE195" t="s">
        <v>2683</v>
      </c>
      <c r="BF195" t="str">
        <f>HYPERLINK("http://dx.doi.org/10.1306/032800710088","http://dx.doi.org/10.1306/032800710088")</f>
        <v>http://dx.doi.org/10.1306/032800710088</v>
      </c>
      <c r="BG195" t="s">
        <v>74</v>
      </c>
      <c r="BH195" t="s">
        <v>74</v>
      </c>
      <c r="BI195">
        <v>13</v>
      </c>
      <c r="BJ195" t="s">
        <v>597</v>
      </c>
      <c r="BK195" t="s">
        <v>94</v>
      </c>
      <c r="BL195" t="s">
        <v>597</v>
      </c>
      <c r="BM195" t="s">
        <v>2684</v>
      </c>
      <c r="BN195" t="s">
        <v>74</v>
      </c>
      <c r="BO195" t="s">
        <v>74</v>
      </c>
      <c r="BP195" t="s">
        <v>74</v>
      </c>
      <c r="BQ195" t="s">
        <v>74</v>
      </c>
      <c r="BR195" t="s">
        <v>97</v>
      </c>
      <c r="BS195" t="s">
        <v>2685</v>
      </c>
      <c r="BT195" t="str">
        <f>HYPERLINK("https%3A%2F%2Fwww.webofscience.com%2Fwos%2Fwoscc%2Ffull-record%2FWOS:000166996600009","View Full Record in Web of Science")</f>
        <v>View Full Record in Web of Science</v>
      </c>
    </row>
    <row r="196" spans="1:72" x14ac:dyDescent="0.15">
      <c r="A196" t="s">
        <v>72</v>
      </c>
      <c r="B196" t="s">
        <v>2686</v>
      </c>
      <c r="C196" t="s">
        <v>74</v>
      </c>
      <c r="D196" t="s">
        <v>74</v>
      </c>
      <c r="E196" t="s">
        <v>74</v>
      </c>
      <c r="F196" t="s">
        <v>2686</v>
      </c>
      <c r="G196" t="s">
        <v>74</v>
      </c>
      <c r="H196" t="s">
        <v>74</v>
      </c>
      <c r="I196" t="s">
        <v>2687</v>
      </c>
      <c r="J196" t="s">
        <v>2667</v>
      </c>
      <c r="K196" t="s">
        <v>74</v>
      </c>
      <c r="L196" t="s">
        <v>74</v>
      </c>
      <c r="M196" t="s">
        <v>77</v>
      </c>
      <c r="N196" t="s">
        <v>78</v>
      </c>
      <c r="O196" t="s">
        <v>74</v>
      </c>
      <c r="P196" t="s">
        <v>74</v>
      </c>
      <c r="Q196" t="s">
        <v>74</v>
      </c>
      <c r="R196" t="s">
        <v>74</v>
      </c>
      <c r="S196" t="s">
        <v>74</v>
      </c>
      <c r="T196" t="s">
        <v>74</v>
      </c>
      <c r="U196" t="s">
        <v>2688</v>
      </c>
      <c r="V196" t="s">
        <v>2689</v>
      </c>
      <c r="W196" t="s">
        <v>2690</v>
      </c>
      <c r="X196" t="s">
        <v>177</v>
      </c>
      <c r="Y196" t="s">
        <v>2691</v>
      </c>
      <c r="Z196" t="s">
        <v>74</v>
      </c>
      <c r="AA196" t="s">
        <v>74</v>
      </c>
      <c r="AB196" t="s">
        <v>74</v>
      </c>
      <c r="AC196" t="s">
        <v>74</v>
      </c>
      <c r="AD196" t="s">
        <v>74</v>
      </c>
      <c r="AE196" t="s">
        <v>74</v>
      </c>
      <c r="AF196" t="s">
        <v>74</v>
      </c>
      <c r="AG196">
        <v>42</v>
      </c>
      <c r="AH196">
        <v>10</v>
      </c>
      <c r="AI196">
        <v>11</v>
      </c>
      <c r="AJ196">
        <v>0</v>
      </c>
      <c r="AK196">
        <v>0</v>
      </c>
      <c r="AL196" t="s">
        <v>2676</v>
      </c>
      <c r="AM196" t="s">
        <v>2677</v>
      </c>
      <c r="AN196" t="s">
        <v>2692</v>
      </c>
      <c r="AO196" t="s">
        <v>2693</v>
      </c>
      <c r="AP196" t="s">
        <v>74</v>
      </c>
      <c r="AQ196" t="s">
        <v>74</v>
      </c>
      <c r="AR196" t="s">
        <v>2680</v>
      </c>
      <c r="AS196" t="s">
        <v>2681</v>
      </c>
      <c r="AT196" t="s">
        <v>91</v>
      </c>
      <c r="AU196">
        <v>2001</v>
      </c>
      <c r="AV196">
        <v>71</v>
      </c>
      <c r="AW196">
        <v>1</v>
      </c>
      <c r="AX196" t="s">
        <v>2682</v>
      </c>
      <c r="AY196" t="s">
        <v>74</v>
      </c>
      <c r="AZ196" t="s">
        <v>74</v>
      </c>
      <c r="BA196" t="s">
        <v>74</v>
      </c>
      <c r="BB196">
        <v>101</v>
      </c>
      <c r="BC196">
        <v>106</v>
      </c>
      <c r="BD196" t="s">
        <v>74</v>
      </c>
      <c r="BE196" t="s">
        <v>2694</v>
      </c>
      <c r="BF196" t="str">
        <f>HYPERLINK("http://dx.doi.org/10.1306/032100710101","http://dx.doi.org/10.1306/032100710101")</f>
        <v>http://dx.doi.org/10.1306/032100710101</v>
      </c>
      <c r="BG196" t="s">
        <v>74</v>
      </c>
      <c r="BH196" t="s">
        <v>74</v>
      </c>
      <c r="BI196">
        <v>6</v>
      </c>
      <c r="BJ196" t="s">
        <v>597</v>
      </c>
      <c r="BK196" t="s">
        <v>94</v>
      </c>
      <c r="BL196" t="s">
        <v>597</v>
      </c>
      <c r="BM196" t="s">
        <v>2684</v>
      </c>
      <c r="BN196" t="s">
        <v>74</v>
      </c>
      <c r="BO196" t="s">
        <v>74</v>
      </c>
      <c r="BP196" t="s">
        <v>74</v>
      </c>
      <c r="BQ196" t="s">
        <v>74</v>
      </c>
      <c r="BR196" t="s">
        <v>97</v>
      </c>
      <c r="BS196" t="s">
        <v>2695</v>
      </c>
      <c r="BT196" t="str">
        <f>HYPERLINK("https%3A%2F%2Fwww.webofscience.com%2Fwos%2Fwoscc%2Ffull-record%2FWOS:000166996600010","View Full Record in Web of Science")</f>
        <v>View Full Record in Web of Science</v>
      </c>
    </row>
    <row r="197" spans="1:72" x14ac:dyDescent="0.15">
      <c r="A197" t="s">
        <v>1106</v>
      </c>
      <c r="B197" t="s">
        <v>2696</v>
      </c>
      <c r="C197" t="s">
        <v>74</v>
      </c>
      <c r="D197" t="s">
        <v>2697</v>
      </c>
      <c r="E197" t="s">
        <v>74</v>
      </c>
      <c r="F197" t="s">
        <v>2696</v>
      </c>
      <c r="G197" t="s">
        <v>74</v>
      </c>
      <c r="H197" t="s">
        <v>74</v>
      </c>
      <c r="I197" t="s">
        <v>2698</v>
      </c>
      <c r="J197" t="s">
        <v>2699</v>
      </c>
      <c r="K197" t="s">
        <v>2700</v>
      </c>
      <c r="L197" t="s">
        <v>74</v>
      </c>
      <c r="M197" t="s">
        <v>77</v>
      </c>
      <c r="N197" t="s">
        <v>576</v>
      </c>
      <c r="O197" t="s">
        <v>2701</v>
      </c>
      <c r="P197" t="s">
        <v>1164</v>
      </c>
      <c r="Q197" t="s">
        <v>1165</v>
      </c>
      <c r="R197" t="s">
        <v>74</v>
      </c>
      <c r="S197" t="s">
        <v>74</v>
      </c>
      <c r="T197" t="s">
        <v>74</v>
      </c>
      <c r="U197" t="s">
        <v>2702</v>
      </c>
      <c r="V197" t="s">
        <v>2703</v>
      </c>
      <c r="W197" t="s">
        <v>2704</v>
      </c>
      <c r="X197" t="s">
        <v>2705</v>
      </c>
      <c r="Y197" t="s">
        <v>2706</v>
      </c>
      <c r="Z197" t="s">
        <v>74</v>
      </c>
      <c r="AA197" t="s">
        <v>2707</v>
      </c>
      <c r="AB197" t="s">
        <v>2708</v>
      </c>
      <c r="AC197" t="s">
        <v>74</v>
      </c>
      <c r="AD197" t="s">
        <v>74</v>
      </c>
      <c r="AE197" t="s">
        <v>74</v>
      </c>
      <c r="AF197" t="s">
        <v>74</v>
      </c>
      <c r="AG197">
        <v>15</v>
      </c>
      <c r="AH197">
        <v>25</v>
      </c>
      <c r="AI197">
        <v>25</v>
      </c>
      <c r="AJ197">
        <v>0</v>
      </c>
      <c r="AK197">
        <v>6</v>
      </c>
      <c r="AL197" t="s">
        <v>1120</v>
      </c>
      <c r="AM197" t="s">
        <v>1121</v>
      </c>
      <c r="AN197" t="s">
        <v>1122</v>
      </c>
      <c r="AO197" t="s">
        <v>1123</v>
      </c>
      <c r="AP197" t="s">
        <v>74</v>
      </c>
      <c r="AQ197" t="s">
        <v>74</v>
      </c>
      <c r="AR197" t="s">
        <v>2709</v>
      </c>
      <c r="AS197" t="s">
        <v>74</v>
      </c>
      <c r="AT197" t="s">
        <v>74</v>
      </c>
      <c r="AU197">
        <v>2001</v>
      </c>
      <c r="AV197">
        <v>26</v>
      </c>
      <c r="AW197">
        <v>12</v>
      </c>
      <c r="AX197" t="s">
        <v>74</v>
      </c>
      <c r="AY197" t="s">
        <v>74</v>
      </c>
      <c r="AZ197" t="s">
        <v>74</v>
      </c>
      <c r="BA197" t="s">
        <v>74</v>
      </c>
      <c r="BB197">
        <v>1931</v>
      </c>
      <c r="BC197">
        <v>1940</v>
      </c>
      <c r="BD197" t="s">
        <v>74</v>
      </c>
      <c r="BE197" t="s">
        <v>74</v>
      </c>
      <c r="BF197" t="s">
        <v>74</v>
      </c>
      <c r="BG197" t="s">
        <v>74</v>
      </c>
      <c r="BH197" t="s">
        <v>74</v>
      </c>
      <c r="BI197">
        <v>10</v>
      </c>
      <c r="BJ197" t="s">
        <v>1126</v>
      </c>
      <c r="BK197" t="s">
        <v>596</v>
      </c>
      <c r="BL197" t="s">
        <v>1127</v>
      </c>
      <c r="BM197" t="s">
        <v>2710</v>
      </c>
      <c r="BN197" t="s">
        <v>74</v>
      </c>
      <c r="BO197" t="s">
        <v>74</v>
      </c>
      <c r="BP197" t="s">
        <v>74</v>
      </c>
      <c r="BQ197" t="s">
        <v>74</v>
      </c>
      <c r="BR197" t="s">
        <v>97</v>
      </c>
      <c r="BS197" t="s">
        <v>2711</v>
      </c>
      <c r="BT197" t="str">
        <f>HYPERLINK("https%3A%2F%2Fwww.webofscience.com%2Fwos%2Fwoscc%2Ffull-record%2FWOS:000169859200005","View Full Record in Web of Science")</f>
        <v>View Full Record in Web of Science</v>
      </c>
    </row>
    <row r="198" spans="1:72" x14ac:dyDescent="0.15">
      <c r="A198" t="s">
        <v>1106</v>
      </c>
      <c r="B198" t="s">
        <v>2712</v>
      </c>
      <c r="C198" t="s">
        <v>74</v>
      </c>
      <c r="D198" t="s">
        <v>2697</v>
      </c>
      <c r="E198" t="s">
        <v>74</v>
      </c>
      <c r="F198" t="s">
        <v>2712</v>
      </c>
      <c r="G198" t="s">
        <v>74</v>
      </c>
      <c r="H198" t="s">
        <v>74</v>
      </c>
      <c r="I198" t="s">
        <v>2713</v>
      </c>
      <c r="J198" t="s">
        <v>2699</v>
      </c>
      <c r="K198" t="s">
        <v>1111</v>
      </c>
      <c r="L198" t="s">
        <v>74</v>
      </c>
      <c r="M198" t="s">
        <v>77</v>
      </c>
      <c r="N198" t="s">
        <v>576</v>
      </c>
      <c r="O198" t="s">
        <v>2701</v>
      </c>
      <c r="P198" t="s">
        <v>1164</v>
      </c>
      <c r="Q198" t="s">
        <v>1165</v>
      </c>
      <c r="R198" t="s">
        <v>74</v>
      </c>
      <c r="S198" t="s">
        <v>74</v>
      </c>
      <c r="T198" t="s">
        <v>74</v>
      </c>
      <c r="U198" t="s">
        <v>2714</v>
      </c>
      <c r="V198" t="s">
        <v>2715</v>
      </c>
      <c r="W198" t="s">
        <v>2716</v>
      </c>
      <c r="X198" t="s">
        <v>2717</v>
      </c>
      <c r="Y198" t="s">
        <v>2718</v>
      </c>
      <c r="Z198" t="s">
        <v>74</v>
      </c>
      <c r="AA198" t="s">
        <v>2719</v>
      </c>
      <c r="AB198" t="s">
        <v>74</v>
      </c>
      <c r="AC198" t="s">
        <v>74</v>
      </c>
      <c r="AD198" t="s">
        <v>74</v>
      </c>
      <c r="AE198" t="s">
        <v>74</v>
      </c>
      <c r="AF198" t="s">
        <v>74</v>
      </c>
      <c r="AG198">
        <v>32</v>
      </c>
      <c r="AH198">
        <v>3</v>
      </c>
      <c r="AI198">
        <v>5</v>
      </c>
      <c r="AJ198">
        <v>0</v>
      </c>
      <c r="AK198">
        <v>10</v>
      </c>
      <c r="AL198" t="s">
        <v>1120</v>
      </c>
      <c r="AM198" t="s">
        <v>1121</v>
      </c>
      <c r="AN198" t="s">
        <v>1122</v>
      </c>
      <c r="AO198" t="s">
        <v>1123</v>
      </c>
      <c r="AP198" t="s">
        <v>74</v>
      </c>
      <c r="AQ198" t="s">
        <v>74</v>
      </c>
      <c r="AR198" t="s">
        <v>1124</v>
      </c>
      <c r="AS198" t="s">
        <v>74</v>
      </c>
      <c r="AT198" t="s">
        <v>74</v>
      </c>
      <c r="AU198">
        <v>2001</v>
      </c>
      <c r="AV198">
        <v>26</v>
      </c>
      <c r="AW198">
        <v>12</v>
      </c>
      <c r="AX198" t="s">
        <v>74</v>
      </c>
      <c r="AY198" t="s">
        <v>74</v>
      </c>
      <c r="AZ198" t="s">
        <v>74</v>
      </c>
      <c r="BA198" t="s">
        <v>74</v>
      </c>
      <c r="BB198">
        <v>2041</v>
      </c>
      <c r="BC198">
        <v>2046</v>
      </c>
      <c r="BD198" t="s">
        <v>74</v>
      </c>
      <c r="BE198" t="s">
        <v>74</v>
      </c>
      <c r="BF198" t="s">
        <v>74</v>
      </c>
      <c r="BG198" t="s">
        <v>74</v>
      </c>
      <c r="BH198" t="s">
        <v>74</v>
      </c>
      <c r="BI198">
        <v>6</v>
      </c>
      <c r="BJ198" t="s">
        <v>1126</v>
      </c>
      <c r="BK198" t="s">
        <v>596</v>
      </c>
      <c r="BL198" t="s">
        <v>1127</v>
      </c>
      <c r="BM198" t="s">
        <v>2710</v>
      </c>
      <c r="BN198" t="s">
        <v>74</v>
      </c>
      <c r="BO198" t="s">
        <v>74</v>
      </c>
      <c r="BP198" t="s">
        <v>74</v>
      </c>
      <c r="BQ198" t="s">
        <v>74</v>
      </c>
      <c r="BR198" t="s">
        <v>97</v>
      </c>
      <c r="BS198" t="s">
        <v>2720</v>
      </c>
      <c r="BT198" t="str">
        <f>HYPERLINK("https%3A%2F%2Fwww.webofscience.com%2Fwos%2Fwoscc%2Ffull-record%2FWOS:000169859200017","View Full Record in Web of Science")</f>
        <v>View Full Record in Web of Science</v>
      </c>
    </row>
    <row r="199" spans="1:72" x14ac:dyDescent="0.15">
      <c r="A199" t="s">
        <v>72</v>
      </c>
      <c r="B199" t="s">
        <v>2721</v>
      </c>
      <c r="C199" t="s">
        <v>74</v>
      </c>
      <c r="D199" t="s">
        <v>74</v>
      </c>
      <c r="E199" t="s">
        <v>74</v>
      </c>
      <c r="F199" t="s">
        <v>2721</v>
      </c>
      <c r="G199" t="s">
        <v>74</v>
      </c>
      <c r="H199" t="s">
        <v>74</v>
      </c>
      <c r="I199" t="s">
        <v>2722</v>
      </c>
      <c r="J199" t="s">
        <v>2723</v>
      </c>
      <c r="K199" t="s">
        <v>74</v>
      </c>
      <c r="L199" t="s">
        <v>74</v>
      </c>
      <c r="M199" t="s">
        <v>77</v>
      </c>
      <c r="N199" t="s">
        <v>78</v>
      </c>
      <c r="O199" t="s">
        <v>74</v>
      </c>
      <c r="P199" t="s">
        <v>74</v>
      </c>
      <c r="Q199" t="s">
        <v>74</v>
      </c>
      <c r="R199" t="s">
        <v>74</v>
      </c>
      <c r="S199" t="s">
        <v>74</v>
      </c>
      <c r="T199" t="s">
        <v>74</v>
      </c>
      <c r="U199" t="s">
        <v>2724</v>
      </c>
      <c r="V199" t="s">
        <v>2725</v>
      </c>
      <c r="W199" t="s">
        <v>2726</v>
      </c>
      <c r="X199" t="s">
        <v>1442</v>
      </c>
      <c r="Y199" t="s">
        <v>2727</v>
      </c>
      <c r="Z199" t="s">
        <v>74</v>
      </c>
      <c r="AA199" t="s">
        <v>2728</v>
      </c>
      <c r="AB199" t="s">
        <v>74</v>
      </c>
      <c r="AC199" t="s">
        <v>74</v>
      </c>
      <c r="AD199" t="s">
        <v>74</v>
      </c>
      <c r="AE199" t="s">
        <v>74</v>
      </c>
      <c r="AF199" t="s">
        <v>74</v>
      </c>
      <c r="AG199">
        <v>30</v>
      </c>
      <c r="AH199">
        <v>10</v>
      </c>
      <c r="AI199">
        <v>10</v>
      </c>
      <c r="AJ199">
        <v>0</v>
      </c>
      <c r="AK199">
        <v>1</v>
      </c>
      <c r="AL199" t="s">
        <v>2729</v>
      </c>
      <c r="AM199" t="s">
        <v>2730</v>
      </c>
      <c r="AN199" t="s">
        <v>2731</v>
      </c>
      <c r="AO199" t="s">
        <v>2732</v>
      </c>
      <c r="AP199" t="s">
        <v>2733</v>
      </c>
      <c r="AQ199" t="s">
        <v>74</v>
      </c>
      <c r="AR199" t="s">
        <v>2734</v>
      </c>
      <c r="AS199" t="s">
        <v>2735</v>
      </c>
      <c r="AT199" t="s">
        <v>74</v>
      </c>
      <c r="AU199">
        <v>2001</v>
      </c>
      <c r="AV199">
        <v>52</v>
      </c>
      <c r="AW199">
        <v>4</v>
      </c>
      <c r="AX199" t="s">
        <v>74</v>
      </c>
      <c r="AY199" t="s">
        <v>74</v>
      </c>
      <c r="AZ199" t="s">
        <v>2736</v>
      </c>
      <c r="BA199" t="s">
        <v>74</v>
      </c>
      <c r="BB199">
        <v>611</v>
      </c>
      <c r="BC199">
        <v>622</v>
      </c>
      <c r="BD199" t="s">
        <v>74</v>
      </c>
      <c r="BE199" t="s">
        <v>2737</v>
      </c>
      <c r="BF199" t="str">
        <f>HYPERLINK("http://dx.doi.org/10.1071/MF00007","http://dx.doi.org/10.1071/MF00007")</f>
        <v>http://dx.doi.org/10.1071/MF00007</v>
      </c>
      <c r="BG199" t="s">
        <v>74</v>
      </c>
      <c r="BH199" t="s">
        <v>74</v>
      </c>
      <c r="BI199">
        <v>12</v>
      </c>
      <c r="BJ199" t="s">
        <v>2738</v>
      </c>
      <c r="BK199" t="s">
        <v>94</v>
      </c>
      <c r="BL199" t="s">
        <v>2739</v>
      </c>
      <c r="BM199" t="s">
        <v>2740</v>
      </c>
      <c r="BN199" t="s">
        <v>74</v>
      </c>
      <c r="BO199" t="s">
        <v>74</v>
      </c>
      <c r="BP199" t="s">
        <v>74</v>
      </c>
      <c r="BQ199" t="s">
        <v>74</v>
      </c>
      <c r="BR199" t="s">
        <v>97</v>
      </c>
      <c r="BS199" t="s">
        <v>2741</v>
      </c>
      <c r="BT199" t="str">
        <f>HYPERLINK("https%3A%2F%2Fwww.webofscience.com%2Fwos%2Fwoscc%2Ffull-record%2FWOS:000171168200020","View Full Record in Web of Science")</f>
        <v>View Full Record in Web of Science</v>
      </c>
    </row>
    <row r="200" spans="1:72" x14ac:dyDescent="0.15">
      <c r="A200" t="s">
        <v>72</v>
      </c>
      <c r="B200" t="s">
        <v>2742</v>
      </c>
      <c r="C200" t="s">
        <v>74</v>
      </c>
      <c r="D200" t="s">
        <v>74</v>
      </c>
      <c r="E200" t="s">
        <v>74</v>
      </c>
      <c r="F200" t="s">
        <v>2742</v>
      </c>
      <c r="G200" t="s">
        <v>74</v>
      </c>
      <c r="H200" t="s">
        <v>74</v>
      </c>
      <c r="I200" t="s">
        <v>2743</v>
      </c>
      <c r="J200" t="s">
        <v>2723</v>
      </c>
      <c r="K200" t="s">
        <v>74</v>
      </c>
      <c r="L200" t="s">
        <v>74</v>
      </c>
      <c r="M200" t="s">
        <v>77</v>
      </c>
      <c r="N200" t="s">
        <v>78</v>
      </c>
      <c r="O200" t="s">
        <v>74</v>
      </c>
      <c r="P200" t="s">
        <v>74</v>
      </c>
      <c r="Q200" t="s">
        <v>74</v>
      </c>
      <c r="R200" t="s">
        <v>74</v>
      </c>
      <c r="S200" t="s">
        <v>74</v>
      </c>
      <c r="T200" t="s">
        <v>74</v>
      </c>
      <c r="U200" t="s">
        <v>74</v>
      </c>
      <c r="V200" t="s">
        <v>2744</v>
      </c>
      <c r="W200" t="s">
        <v>2745</v>
      </c>
      <c r="X200" t="s">
        <v>2746</v>
      </c>
      <c r="Y200" t="s">
        <v>2747</v>
      </c>
      <c r="Z200" t="s">
        <v>74</v>
      </c>
      <c r="AA200" t="s">
        <v>74</v>
      </c>
      <c r="AB200" t="s">
        <v>74</v>
      </c>
      <c r="AC200" t="s">
        <v>74</v>
      </c>
      <c r="AD200" t="s">
        <v>74</v>
      </c>
      <c r="AE200" t="s">
        <v>74</v>
      </c>
      <c r="AF200" t="s">
        <v>74</v>
      </c>
      <c r="AG200">
        <v>9</v>
      </c>
      <c r="AH200">
        <v>4</v>
      </c>
      <c r="AI200">
        <v>4</v>
      </c>
      <c r="AJ200">
        <v>0</v>
      </c>
      <c r="AK200">
        <v>2</v>
      </c>
      <c r="AL200" t="s">
        <v>2729</v>
      </c>
      <c r="AM200" t="s">
        <v>2730</v>
      </c>
      <c r="AN200" t="s">
        <v>2731</v>
      </c>
      <c r="AO200" t="s">
        <v>2732</v>
      </c>
      <c r="AP200" t="s">
        <v>2733</v>
      </c>
      <c r="AQ200" t="s">
        <v>74</v>
      </c>
      <c r="AR200" t="s">
        <v>2734</v>
      </c>
      <c r="AS200" t="s">
        <v>2735</v>
      </c>
      <c r="AT200" t="s">
        <v>74</v>
      </c>
      <c r="AU200">
        <v>2001</v>
      </c>
      <c r="AV200">
        <v>52</v>
      </c>
      <c r="AW200">
        <v>4</v>
      </c>
      <c r="AX200" t="s">
        <v>74</v>
      </c>
      <c r="AY200" t="s">
        <v>74</v>
      </c>
      <c r="AZ200" t="s">
        <v>2736</v>
      </c>
      <c r="BA200" t="s">
        <v>74</v>
      </c>
      <c r="BB200">
        <v>623</v>
      </c>
      <c r="BC200">
        <v>629</v>
      </c>
      <c r="BD200" t="s">
        <v>74</v>
      </c>
      <c r="BE200" t="s">
        <v>2748</v>
      </c>
      <c r="BF200" t="str">
        <f>HYPERLINK("http://dx.doi.org/10.1071/MF01041","http://dx.doi.org/10.1071/MF01041")</f>
        <v>http://dx.doi.org/10.1071/MF01041</v>
      </c>
      <c r="BG200" t="s">
        <v>74</v>
      </c>
      <c r="BH200" t="s">
        <v>74</v>
      </c>
      <c r="BI200">
        <v>7</v>
      </c>
      <c r="BJ200" t="s">
        <v>2738</v>
      </c>
      <c r="BK200" t="s">
        <v>94</v>
      </c>
      <c r="BL200" t="s">
        <v>2739</v>
      </c>
      <c r="BM200" t="s">
        <v>2740</v>
      </c>
      <c r="BN200" t="s">
        <v>74</v>
      </c>
      <c r="BO200" t="s">
        <v>74</v>
      </c>
      <c r="BP200" t="s">
        <v>74</v>
      </c>
      <c r="BQ200" t="s">
        <v>74</v>
      </c>
      <c r="BR200" t="s">
        <v>97</v>
      </c>
      <c r="BS200" t="s">
        <v>2749</v>
      </c>
      <c r="BT200" t="str">
        <f>HYPERLINK("https%3A%2F%2Fwww.webofscience.com%2Fwos%2Fwoscc%2Ffull-record%2FWOS:000171168200021","View Full Record in Web of Science")</f>
        <v>View Full Record in Web of Science</v>
      </c>
    </row>
    <row r="201" spans="1:72" x14ac:dyDescent="0.15">
      <c r="A201" t="s">
        <v>72</v>
      </c>
      <c r="B201" t="s">
        <v>2750</v>
      </c>
      <c r="C201" t="s">
        <v>74</v>
      </c>
      <c r="D201" t="s">
        <v>74</v>
      </c>
      <c r="E201" t="s">
        <v>74</v>
      </c>
      <c r="F201" t="s">
        <v>2750</v>
      </c>
      <c r="G201" t="s">
        <v>74</v>
      </c>
      <c r="H201" t="s">
        <v>74</v>
      </c>
      <c r="I201" t="s">
        <v>2751</v>
      </c>
      <c r="J201" t="s">
        <v>2723</v>
      </c>
      <c r="K201" t="s">
        <v>74</v>
      </c>
      <c r="L201" t="s">
        <v>74</v>
      </c>
      <c r="M201" t="s">
        <v>77</v>
      </c>
      <c r="N201" t="s">
        <v>576</v>
      </c>
      <c r="O201" t="s">
        <v>2752</v>
      </c>
      <c r="P201" t="s">
        <v>2753</v>
      </c>
      <c r="Q201" t="s">
        <v>2754</v>
      </c>
      <c r="R201" t="s">
        <v>74</v>
      </c>
      <c r="S201" t="s">
        <v>74</v>
      </c>
      <c r="T201" t="s">
        <v>74</v>
      </c>
      <c r="U201" t="s">
        <v>2755</v>
      </c>
      <c r="V201" t="s">
        <v>2756</v>
      </c>
      <c r="W201" t="s">
        <v>2757</v>
      </c>
      <c r="X201" t="s">
        <v>2758</v>
      </c>
      <c r="Y201" t="s">
        <v>2759</v>
      </c>
      <c r="Z201" t="s">
        <v>2760</v>
      </c>
      <c r="AA201" t="s">
        <v>2761</v>
      </c>
      <c r="AB201" t="s">
        <v>74</v>
      </c>
      <c r="AC201" t="s">
        <v>74</v>
      </c>
      <c r="AD201" t="s">
        <v>74</v>
      </c>
      <c r="AE201" t="s">
        <v>74</v>
      </c>
      <c r="AF201" t="s">
        <v>74</v>
      </c>
      <c r="AG201">
        <v>46</v>
      </c>
      <c r="AH201">
        <v>12</v>
      </c>
      <c r="AI201">
        <v>14</v>
      </c>
      <c r="AJ201">
        <v>0</v>
      </c>
      <c r="AK201">
        <v>10</v>
      </c>
      <c r="AL201" t="s">
        <v>2729</v>
      </c>
      <c r="AM201" t="s">
        <v>2730</v>
      </c>
      <c r="AN201" t="s">
        <v>2731</v>
      </c>
      <c r="AO201" t="s">
        <v>2732</v>
      </c>
      <c r="AP201" t="s">
        <v>2733</v>
      </c>
      <c r="AQ201" t="s">
        <v>74</v>
      </c>
      <c r="AR201" t="s">
        <v>2734</v>
      </c>
      <c r="AS201" t="s">
        <v>2735</v>
      </c>
      <c r="AT201" t="s">
        <v>74</v>
      </c>
      <c r="AU201">
        <v>2001</v>
      </c>
      <c r="AV201">
        <v>52</v>
      </c>
      <c r="AW201">
        <v>8</v>
      </c>
      <c r="AX201" t="s">
        <v>74</v>
      </c>
      <c r="AY201" t="s">
        <v>74</v>
      </c>
      <c r="AZ201" t="s">
        <v>2736</v>
      </c>
      <c r="BA201" t="s">
        <v>74</v>
      </c>
      <c r="BB201">
        <v>1157</v>
      </c>
      <c r="BC201">
        <v>1166</v>
      </c>
      <c r="BD201" t="s">
        <v>74</v>
      </c>
      <c r="BE201" t="s">
        <v>2762</v>
      </c>
      <c r="BF201" t="str">
        <f>HYPERLINK("http://dx.doi.org/10.1071/MF01185","http://dx.doi.org/10.1071/MF01185")</f>
        <v>http://dx.doi.org/10.1071/MF01185</v>
      </c>
      <c r="BG201" t="s">
        <v>74</v>
      </c>
      <c r="BH201" t="s">
        <v>74</v>
      </c>
      <c r="BI201">
        <v>10</v>
      </c>
      <c r="BJ201" t="s">
        <v>2738</v>
      </c>
      <c r="BK201" t="s">
        <v>2763</v>
      </c>
      <c r="BL201" t="s">
        <v>2739</v>
      </c>
      <c r="BM201" t="s">
        <v>2764</v>
      </c>
      <c r="BN201" t="s">
        <v>74</v>
      </c>
      <c r="BO201" t="s">
        <v>74</v>
      </c>
      <c r="BP201" t="s">
        <v>74</v>
      </c>
      <c r="BQ201" t="s">
        <v>74</v>
      </c>
      <c r="BR201" t="s">
        <v>97</v>
      </c>
      <c r="BS201" t="s">
        <v>2765</v>
      </c>
      <c r="BT201" t="str">
        <f>HYPERLINK("https%3A%2F%2Fwww.webofscience.com%2Fwos%2Fwoscc%2Ffull-record%2FWOS:000173571100014","View Full Record in Web of Science")</f>
        <v>View Full Record in Web of Science</v>
      </c>
    </row>
    <row r="202" spans="1:72" x14ac:dyDescent="0.15">
      <c r="A202" t="s">
        <v>72</v>
      </c>
      <c r="B202" t="s">
        <v>2766</v>
      </c>
      <c r="C202" t="s">
        <v>74</v>
      </c>
      <c r="D202" t="s">
        <v>74</v>
      </c>
      <c r="E202" t="s">
        <v>74</v>
      </c>
      <c r="F202" t="s">
        <v>2766</v>
      </c>
      <c r="G202" t="s">
        <v>74</v>
      </c>
      <c r="H202" t="s">
        <v>74</v>
      </c>
      <c r="I202" t="s">
        <v>2767</v>
      </c>
      <c r="J202" t="s">
        <v>2768</v>
      </c>
      <c r="K202" t="s">
        <v>74</v>
      </c>
      <c r="L202" t="s">
        <v>74</v>
      </c>
      <c r="M202" t="s">
        <v>77</v>
      </c>
      <c r="N202" t="s">
        <v>78</v>
      </c>
      <c r="O202" t="s">
        <v>74</v>
      </c>
      <c r="P202" t="s">
        <v>74</v>
      </c>
      <c r="Q202" t="s">
        <v>74</v>
      </c>
      <c r="R202" t="s">
        <v>74</v>
      </c>
      <c r="S202" t="s">
        <v>74</v>
      </c>
      <c r="T202" t="s">
        <v>74</v>
      </c>
      <c r="U202" t="s">
        <v>2769</v>
      </c>
      <c r="V202" t="s">
        <v>2770</v>
      </c>
      <c r="W202" t="s">
        <v>885</v>
      </c>
      <c r="X202" t="s">
        <v>221</v>
      </c>
      <c r="Y202" t="s">
        <v>2200</v>
      </c>
      <c r="Z202" t="s">
        <v>2771</v>
      </c>
      <c r="AA202" t="s">
        <v>74</v>
      </c>
      <c r="AB202" t="s">
        <v>74</v>
      </c>
      <c r="AC202" t="s">
        <v>74</v>
      </c>
      <c r="AD202" t="s">
        <v>74</v>
      </c>
      <c r="AE202" t="s">
        <v>74</v>
      </c>
      <c r="AF202" t="s">
        <v>74</v>
      </c>
      <c r="AG202">
        <v>27</v>
      </c>
      <c r="AH202">
        <v>28</v>
      </c>
      <c r="AI202">
        <v>30</v>
      </c>
      <c r="AJ202">
        <v>1</v>
      </c>
      <c r="AK202">
        <v>5</v>
      </c>
      <c r="AL202" t="s">
        <v>776</v>
      </c>
      <c r="AM202" t="s">
        <v>777</v>
      </c>
      <c r="AN202" t="s">
        <v>778</v>
      </c>
      <c r="AO202" t="s">
        <v>2772</v>
      </c>
      <c r="AP202" t="s">
        <v>2773</v>
      </c>
      <c r="AQ202" t="s">
        <v>74</v>
      </c>
      <c r="AR202" t="s">
        <v>2774</v>
      </c>
      <c r="AS202" t="s">
        <v>2775</v>
      </c>
      <c r="AT202" t="s">
        <v>91</v>
      </c>
      <c r="AU202">
        <v>2001</v>
      </c>
      <c r="AV202">
        <v>138</v>
      </c>
      <c r="AW202">
        <v>1</v>
      </c>
      <c r="AX202" t="s">
        <v>74</v>
      </c>
      <c r="AY202" t="s">
        <v>74</v>
      </c>
      <c r="AZ202" t="s">
        <v>74</v>
      </c>
      <c r="BA202" t="s">
        <v>74</v>
      </c>
      <c r="BB202">
        <v>57</v>
      </c>
      <c r="BC202">
        <v>62</v>
      </c>
      <c r="BD202" t="s">
        <v>74</v>
      </c>
      <c r="BE202" t="s">
        <v>2776</v>
      </c>
      <c r="BF202" t="str">
        <f>HYPERLINK("http://dx.doi.org/10.1007/s002270000425","http://dx.doi.org/10.1007/s002270000425")</f>
        <v>http://dx.doi.org/10.1007/s002270000425</v>
      </c>
      <c r="BG202" t="s">
        <v>74</v>
      </c>
      <c r="BH202" t="s">
        <v>74</v>
      </c>
      <c r="BI202">
        <v>6</v>
      </c>
      <c r="BJ202" t="s">
        <v>1259</v>
      </c>
      <c r="BK202" t="s">
        <v>94</v>
      </c>
      <c r="BL202" t="s">
        <v>1259</v>
      </c>
      <c r="BM202" t="s">
        <v>2777</v>
      </c>
      <c r="BN202" t="s">
        <v>74</v>
      </c>
      <c r="BO202" t="s">
        <v>74</v>
      </c>
      <c r="BP202" t="s">
        <v>74</v>
      </c>
      <c r="BQ202" t="s">
        <v>74</v>
      </c>
      <c r="BR202" t="s">
        <v>97</v>
      </c>
      <c r="BS202" t="s">
        <v>2778</v>
      </c>
      <c r="BT202" t="str">
        <f>HYPERLINK("https%3A%2F%2Fwww.webofscience.com%2Fwos%2Fwoscc%2Ffull-record%2FWOS:000166738900006","View Full Record in Web of Science")</f>
        <v>View Full Record in Web of Science</v>
      </c>
    </row>
    <row r="203" spans="1:72" x14ac:dyDescent="0.15">
      <c r="A203" t="s">
        <v>72</v>
      </c>
      <c r="B203" t="s">
        <v>2779</v>
      </c>
      <c r="C203" t="s">
        <v>74</v>
      </c>
      <c r="D203" t="s">
        <v>74</v>
      </c>
      <c r="E203" t="s">
        <v>74</v>
      </c>
      <c r="F203" t="s">
        <v>2779</v>
      </c>
      <c r="G203" t="s">
        <v>74</v>
      </c>
      <c r="H203" t="s">
        <v>74</v>
      </c>
      <c r="I203" t="s">
        <v>2780</v>
      </c>
      <c r="J203" t="s">
        <v>2781</v>
      </c>
      <c r="K203" t="s">
        <v>74</v>
      </c>
      <c r="L203" t="s">
        <v>74</v>
      </c>
      <c r="M203" t="s">
        <v>77</v>
      </c>
      <c r="N203" t="s">
        <v>78</v>
      </c>
      <c r="O203" t="s">
        <v>74</v>
      </c>
      <c r="P203" t="s">
        <v>74</v>
      </c>
      <c r="Q203" t="s">
        <v>74</v>
      </c>
      <c r="R203" t="s">
        <v>74</v>
      </c>
      <c r="S203" t="s">
        <v>74</v>
      </c>
      <c r="T203" t="s">
        <v>2782</v>
      </c>
      <c r="U203" t="s">
        <v>2783</v>
      </c>
      <c r="V203" t="s">
        <v>2784</v>
      </c>
      <c r="W203" t="s">
        <v>2785</v>
      </c>
      <c r="X203" t="s">
        <v>2786</v>
      </c>
      <c r="Y203" t="s">
        <v>2787</v>
      </c>
      <c r="Z203" t="s">
        <v>2788</v>
      </c>
      <c r="AA203" t="s">
        <v>274</v>
      </c>
      <c r="AB203" t="s">
        <v>2789</v>
      </c>
      <c r="AC203" t="s">
        <v>74</v>
      </c>
      <c r="AD203" t="s">
        <v>74</v>
      </c>
      <c r="AE203" t="s">
        <v>74</v>
      </c>
      <c r="AF203" t="s">
        <v>74</v>
      </c>
      <c r="AG203">
        <v>51</v>
      </c>
      <c r="AH203">
        <v>124</v>
      </c>
      <c r="AI203">
        <v>130</v>
      </c>
      <c r="AJ203">
        <v>1</v>
      </c>
      <c r="AK203">
        <v>36</v>
      </c>
      <c r="AL203" t="s">
        <v>1823</v>
      </c>
      <c r="AM203" t="s">
        <v>1121</v>
      </c>
      <c r="AN203" t="s">
        <v>1824</v>
      </c>
      <c r="AO203" t="s">
        <v>2790</v>
      </c>
      <c r="AP203" t="s">
        <v>2791</v>
      </c>
      <c r="AQ203" t="s">
        <v>74</v>
      </c>
      <c r="AR203" t="s">
        <v>2792</v>
      </c>
      <c r="AS203" t="s">
        <v>2793</v>
      </c>
      <c r="AT203" t="s">
        <v>91</v>
      </c>
      <c r="AU203">
        <v>2001</v>
      </c>
      <c r="AV203">
        <v>73</v>
      </c>
      <c r="AW203">
        <v>1</v>
      </c>
      <c r="AX203" t="s">
        <v>74</v>
      </c>
      <c r="AY203" t="s">
        <v>74</v>
      </c>
      <c r="AZ203" t="s">
        <v>74</v>
      </c>
      <c r="BA203" t="s">
        <v>74</v>
      </c>
      <c r="BB203">
        <v>21</v>
      </c>
      <c r="BC203">
        <v>36</v>
      </c>
      <c r="BD203" t="s">
        <v>74</v>
      </c>
      <c r="BE203" t="s">
        <v>2794</v>
      </c>
      <c r="BF203" t="str">
        <f>HYPERLINK("http://dx.doi.org/10.1016/S0304-4203(00)00070-0","http://dx.doi.org/10.1016/S0304-4203(00)00070-0")</f>
        <v>http://dx.doi.org/10.1016/S0304-4203(00)00070-0</v>
      </c>
      <c r="BG203" t="s">
        <v>74</v>
      </c>
      <c r="BH203" t="s">
        <v>74</v>
      </c>
      <c r="BI203">
        <v>16</v>
      </c>
      <c r="BJ203" t="s">
        <v>2795</v>
      </c>
      <c r="BK203" t="s">
        <v>94</v>
      </c>
      <c r="BL203" t="s">
        <v>2796</v>
      </c>
      <c r="BM203" t="s">
        <v>2797</v>
      </c>
      <c r="BN203" t="s">
        <v>74</v>
      </c>
      <c r="BO203" t="s">
        <v>74</v>
      </c>
      <c r="BP203" t="s">
        <v>74</v>
      </c>
      <c r="BQ203" t="s">
        <v>74</v>
      </c>
      <c r="BR203" t="s">
        <v>97</v>
      </c>
      <c r="BS203" t="s">
        <v>2798</v>
      </c>
      <c r="BT203" t="str">
        <f>HYPERLINK("https%3A%2F%2Fwww.webofscience.com%2Fwos%2Fwoscc%2Ffull-record%2FWOS:000166133300002","View Full Record in Web of Science")</f>
        <v>View Full Record in Web of Science</v>
      </c>
    </row>
    <row r="204" spans="1:72" x14ac:dyDescent="0.15">
      <c r="A204" t="s">
        <v>72</v>
      </c>
      <c r="B204" t="s">
        <v>2799</v>
      </c>
      <c r="C204" t="s">
        <v>74</v>
      </c>
      <c r="D204" t="s">
        <v>74</v>
      </c>
      <c r="E204" t="s">
        <v>74</v>
      </c>
      <c r="F204" t="s">
        <v>2799</v>
      </c>
      <c r="G204" t="s">
        <v>74</v>
      </c>
      <c r="H204" t="s">
        <v>74</v>
      </c>
      <c r="I204" t="s">
        <v>2800</v>
      </c>
      <c r="J204" t="s">
        <v>2781</v>
      </c>
      <c r="K204" t="s">
        <v>74</v>
      </c>
      <c r="L204" t="s">
        <v>74</v>
      </c>
      <c r="M204" t="s">
        <v>77</v>
      </c>
      <c r="N204" t="s">
        <v>78</v>
      </c>
      <c r="O204" t="s">
        <v>74</v>
      </c>
      <c r="P204" t="s">
        <v>74</v>
      </c>
      <c r="Q204" t="s">
        <v>74</v>
      </c>
      <c r="R204" t="s">
        <v>74</v>
      </c>
      <c r="S204" t="s">
        <v>74</v>
      </c>
      <c r="T204" t="s">
        <v>2801</v>
      </c>
      <c r="U204" t="s">
        <v>2802</v>
      </c>
      <c r="V204" t="s">
        <v>2803</v>
      </c>
      <c r="W204" t="s">
        <v>2804</v>
      </c>
      <c r="X204" t="s">
        <v>2805</v>
      </c>
      <c r="Y204" t="s">
        <v>2806</v>
      </c>
      <c r="Z204" t="s">
        <v>74</v>
      </c>
      <c r="AA204" t="s">
        <v>2807</v>
      </c>
      <c r="AB204" t="s">
        <v>2808</v>
      </c>
      <c r="AC204" t="s">
        <v>74</v>
      </c>
      <c r="AD204" t="s">
        <v>74</v>
      </c>
      <c r="AE204" t="s">
        <v>74</v>
      </c>
      <c r="AF204" t="s">
        <v>74</v>
      </c>
      <c r="AG204">
        <v>53</v>
      </c>
      <c r="AH204">
        <v>104</v>
      </c>
      <c r="AI204">
        <v>111</v>
      </c>
      <c r="AJ204">
        <v>1</v>
      </c>
      <c r="AK204">
        <v>32</v>
      </c>
      <c r="AL204" t="s">
        <v>1120</v>
      </c>
      <c r="AM204" t="s">
        <v>1121</v>
      </c>
      <c r="AN204" t="s">
        <v>2394</v>
      </c>
      <c r="AO204" t="s">
        <v>2790</v>
      </c>
      <c r="AP204" t="s">
        <v>74</v>
      </c>
      <c r="AQ204" t="s">
        <v>74</v>
      </c>
      <c r="AR204" t="s">
        <v>2792</v>
      </c>
      <c r="AS204" t="s">
        <v>2793</v>
      </c>
      <c r="AT204" t="s">
        <v>91</v>
      </c>
      <c r="AU204">
        <v>2001</v>
      </c>
      <c r="AV204">
        <v>73</v>
      </c>
      <c r="AW204">
        <v>1</v>
      </c>
      <c r="AX204" t="s">
        <v>74</v>
      </c>
      <c r="AY204" t="s">
        <v>74</v>
      </c>
      <c r="AZ204" t="s">
        <v>74</v>
      </c>
      <c r="BA204" t="s">
        <v>74</v>
      </c>
      <c r="BB204">
        <v>53</v>
      </c>
      <c r="BC204">
        <v>64</v>
      </c>
      <c r="BD204" t="s">
        <v>74</v>
      </c>
      <c r="BE204" t="s">
        <v>2809</v>
      </c>
      <c r="BF204" t="str">
        <f>HYPERLINK("http://dx.doi.org/10.1016/S0304-4203(00)00072-4","http://dx.doi.org/10.1016/S0304-4203(00)00072-4")</f>
        <v>http://dx.doi.org/10.1016/S0304-4203(00)00072-4</v>
      </c>
      <c r="BG204" t="s">
        <v>74</v>
      </c>
      <c r="BH204" t="s">
        <v>74</v>
      </c>
      <c r="BI204">
        <v>12</v>
      </c>
      <c r="BJ204" t="s">
        <v>2795</v>
      </c>
      <c r="BK204" t="s">
        <v>94</v>
      </c>
      <c r="BL204" t="s">
        <v>2796</v>
      </c>
      <c r="BM204" t="s">
        <v>2797</v>
      </c>
      <c r="BN204" t="s">
        <v>74</v>
      </c>
      <c r="BO204" t="s">
        <v>74</v>
      </c>
      <c r="BP204" t="s">
        <v>74</v>
      </c>
      <c r="BQ204" t="s">
        <v>74</v>
      </c>
      <c r="BR204" t="s">
        <v>97</v>
      </c>
      <c r="BS204" t="s">
        <v>2810</v>
      </c>
      <c r="BT204" t="str">
        <f>HYPERLINK("https%3A%2F%2Fwww.webofscience.com%2Fwos%2Fwoscc%2Ffull-record%2FWOS:000166133300004","View Full Record in Web of Science")</f>
        <v>View Full Record in Web of Science</v>
      </c>
    </row>
    <row r="205" spans="1:72" x14ac:dyDescent="0.15">
      <c r="A205" t="s">
        <v>72</v>
      </c>
      <c r="B205" t="s">
        <v>2811</v>
      </c>
      <c r="C205" t="s">
        <v>74</v>
      </c>
      <c r="D205" t="s">
        <v>74</v>
      </c>
      <c r="E205" t="s">
        <v>74</v>
      </c>
      <c r="F205" t="s">
        <v>2811</v>
      </c>
      <c r="G205" t="s">
        <v>74</v>
      </c>
      <c r="H205" t="s">
        <v>74</v>
      </c>
      <c r="I205" t="s">
        <v>2812</v>
      </c>
      <c r="J205" t="s">
        <v>2813</v>
      </c>
      <c r="K205" t="s">
        <v>74</v>
      </c>
      <c r="L205" t="s">
        <v>74</v>
      </c>
      <c r="M205" t="s">
        <v>77</v>
      </c>
      <c r="N205" t="s">
        <v>78</v>
      </c>
      <c r="O205" t="s">
        <v>74</v>
      </c>
      <c r="P205" t="s">
        <v>74</v>
      </c>
      <c r="Q205" t="s">
        <v>74</v>
      </c>
      <c r="R205" t="s">
        <v>74</v>
      </c>
      <c r="S205" t="s">
        <v>74</v>
      </c>
      <c r="T205" t="s">
        <v>2814</v>
      </c>
      <c r="U205" t="s">
        <v>2815</v>
      </c>
      <c r="V205" t="s">
        <v>2816</v>
      </c>
      <c r="W205" t="s">
        <v>2817</v>
      </c>
      <c r="X205" t="s">
        <v>2818</v>
      </c>
      <c r="Y205" t="s">
        <v>2819</v>
      </c>
      <c r="Z205" t="s">
        <v>2820</v>
      </c>
      <c r="AA205" t="s">
        <v>2821</v>
      </c>
      <c r="AB205" t="s">
        <v>2822</v>
      </c>
      <c r="AC205" t="s">
        <v>74</v>
      </c>
      <c r="AD205" t="s">
        <v>74</v>
      </c>
      <c r="AE205" t="s">
        <v>74</v>
      </c>
      <c r="AF205" t="s">
        <v>74</v>
      </c>
      <c r="AG205">
        <v>32</v>
      </c>
      <c r="AH205">
        <v>116</v>
      </c>
      <c r="AI205">
        <v>127</v>
      </c>
      <c r="AJ205">
        <v>0</v>
      </c>
      <c r="AK205">
        <v>52</v>
      </c>
      <c r="AL205" t="s">
        <v>2823</v>
      </c>
      <c r="AM205" t="s">
        <v>2824</v>
      </c>
      <c r="AN205" t="s">
        <v>2825</v>
      </c>
      <c r="AO205" t="s">
        <v>2826</v>
      </c>
      <c r="AP205" t="s">
        <v>74</v>
      </c>
      <c r="AQ205" t="s">
        <v>74</v>
      </c>
      <c r="AR205" t="s">
        <v>2827</v>
      </c>
      <c r="AS205" t="s">
        <v>2828</v>
      </c>
      <c r="AT205" t="s">
        <v>74</v>
      </c>
      <c r="AU205">
        <v>2001</v>
      </c>
      <c r="AV205">
        <v>224</v>
      </c>
      <c r="AW205" t="s">
        <v>74</v>
      </c>
      <c r="AX205" t="s">
        <v>74</v>
      </c>
      <c r="AY205" t="s">
        <v>74</v>
      </c>
      <c r="AZ205" t="s">
        <v>74</v>
      </c>
      <c r="BA205" t="s">
        <v>74</v>
      </c>
      <c r="BB205">
        <v>283</v>
      </c>
      <c r="BC205">
        <v>290</v>
      </c>
      <c r="BD205" t="s">
        <v>74</v>
      </c>
      <c r="BE205" t="s">
        <v>2829</v>
      </c>
      <c r="BF205" t="str">
        <f>HYPERLINK("http://dx.doi.org/10.3354/meps224283","http://dx.doi.org/10.3354/meps224283")</f>
        <v>http://dx.doi.org/10.3354/meps224283</v>
      </c>
      <c r="BG205" t="s">
        <v>74</v>
      </c>
      <c r="BH205" t="s">
        <v>74</v>
      </c>
      <c r="BI205">
        <v>8</v>
      </c>
      <c r="BJ205" t="s">
        <v>2830</v>
      </c>
      <c r="BK205" t="s">
        <v>94</v>
      </c>
      <c r="BL205" t="s">
        <v>2831</v>
      </c>
      <c r="BM205" t="s">
        <v>2832</v>
      </c>
      <c r="BN205" t="s">
        <v>74</v>
      </c>
      <c r="BO205" t="s">
        <v>2451</v>
      </c>
      <c r="BP205" t="s">
        <v>74</v>
      </c>
      <c r="BQ205" t="s">
        <v>74</v>
      </c>
      <c r="BR205" t="s">
        <v>97</v>
      </c>
      <c r="BS205" t="s">
        <v>2833</v>
      </c>
      <c r="BT205" t="str">
        <f>HYPERLINK("https%3A%2F%2Fwww.webofscience.com%2Fwos%2Fwoscc%2Ffull-record%2FWOS:000173683900023","View Full Record in Web of Science")</f>
        <v>View Full Record in Web of Science</v>
      </c>
    </row>
    <row r="206" spans="1:72" x14ac:dyDescent="0.15">
      <c r="A206" t="s">
        <v>72</v>
      </c>
      <c r="B206" t="s">
        <v>2834</v>
      </c>
      <c r="C206" t="s">
        <v>74</v>
      </c>
      <c r="D206" t="s">
        <v>74</v>
      </c>
      <c r="E206" t="s">
        <v>74</v>
      </c>
      <c r="F206" t="s">
        <v>2834</v>
      </c>
      <c r="G206" t="s">
        <v>74</v>
      </c>
      <c r="H206" t="s">
        <v>74</v>
      </c>
      <c r="I206" t="s">
        <v>2835</v>
      </c>
      <c r="J206" t="s">
        <v>2813</v>
      </c>
      <c r="K206" t="s">
        <v>74</v>
      </c>
      <c r="L206" t="s">
        <v>74</v>
      </c>
      <c r="M206" t="s">
        <v>77</v>
      </c>
      <c r="N206" t="s">
        <v>78</v>
      </c>
      <c r="O206" t="s">
        <v>74</v>
      </c>
      <c r="P206" t="s">
        <v>74</v>
      </c>
      <c r="Q206" t="s">
        <v>74</v>
      </c>
      <c r="R206" t="s">
        <v>74</v>
      </c>
      <c r="S206" t="s">
        <v>74</v>
      </c>
      <c r="T206" t="s">
        <v>2836</v>
      </c>
      <c r="U206" t="s">
        <v>2837</v>
      </c>
      <c r="V206" t="s">
        <v>2838</v>
      </c>
      <c r="W206" t="s">
        <v>2839</v>
      </c>
      <c r="X206" t="s">
        <v>2840</v>
      </c>
      <c r="Y206" t="s">
        <v>2841</v>
      </c>
      <c r="Z206" t="s">
        <v>2842</v>
      </c>
      <c r="AA206" t="s">
        <v>2843</v>
      </c>
      <c r="AB206" t="s">
        <v>2844</v>
      </c>
      <c r="AC206" t="s">
        <v>74</v>
      </c>
      <c r="AD206" t="s">
        <v>74</v>
      </c>
      <c r="AE206" t="s">
        <v>74</v>
      </c>
      <c r="AF206" t="s">
        <v>74</v>
      </c>
      <c r="AG206">
        <v>67</v>
      </c>
      <c r="AH206">
        <v>30</v>
      </c>
      <c r="AI206">
        <v>37</v>
      </c>
      <c r="AJ206">
        <v>1</v>
      </c>
      <c r="AK206">
        <v>11</v>
      </c>
      <c r="AL206" t="s">
        <v>2823</v>
      </c>
      <c r="AM206" t="s">
        <v>2824</v>
      </c>
      <c r="AN206" t="s">
        <v>2825</v>
      </c>
      <c r="AO206" t="s">
        <v>2826</v>
      </c>
      <c r="AP206" t="s">
        <v>74</v>
      </c>
      <c r="AQ206" t="s">
        <v>74</v>
      </c>
      <c r="AR206" t="s">
        <v>2827</v>
      </c>
      <c r="AS206" t="s">
        <v>2828</v>
      </c>
      <c r="AT206" t="s">
        <v>74</v>
      </c>
      <c r="AU206">
        <v>2001</v>
      </c>
      <c r="AV206">
        <v>223</v>
      </c>
      <c r="AW206" t="s">
        <v>74</v>
      </c>
      <c r="AX206" t="s">
        <v>74</v>
      </c>
      <c r="AY206" t="s">
        <v>74</v>
      </c>
      <c r="AZ206" t="s">
        <v>74</v>
      </c>
      <c r="BA206" t="s">
        <v>74</v>
      </c>
      <c r="BB206">
        <v>235</v>
      </c>
      <c r="BC206">
        <v>242</v>
      </c>
      <c r="BD206" t="s">
        <v>74</v>
      </c>
      <c r="BE206" t="s">
        <v>2845</v>
      </c>
      <c r="BF206" t="str">
        <f>HYPERLINK("http://dx.doi.org/10.3354/meps223235","http://dx.doi.org/10.3354/meps223235")</f>
        <v>http://dx.doi.org/10.3354/meps223235</v>
      </c>
      <c r="BG206" t="s">
        <v>74</v>
      </c>
      <c r="BH206" t="s">
        <v>74</v>
      </c>
      <c r="BI206">
        <v>8</v>
      </c>
      <c r="BJ206" t="s">
        <v>2830</v>
      </c>
      <c r="BK206" t="s">
        <v>94</v>
      </c>
      <c r="BL206" t="s">
        <v>2831</v>
      </c>
      <c r="BM206" t="s">
        <v>2846</v>
      </c>
      <c r="BN206" t="s">
        <v>74</v>
      </c>
      <c r="BO206" t="s">
        <v>1068</v>
      </c>
      <c r="BP206" t="s">
        <v>74</v>
      </c>
      <c r="BQ206" t="s">
        <v>74</v>
      </c>
      <c r="BR206" t="s">
        <v>97</v>
      </c>
      <c r="BS206" t="s">
        <v>2847</v>
      </c>
      <c r="BT206" t="str">
        <f>HYPERLINK("https%3A%2F%2Fwww.webofscience.com%2Fwos%2Fwoscc%2Ffull-record%2FWOS:000173348700020","View Full Record in Web of Science")</f>
        <v>View Full Record in Web of Science</v>
      </c>
    </row>
    <row r="207" spans="1:72" x14ac:dyDescent="0.15">
      <c r="A207" t="s">
        <v>72</v>
      </c>
      <c r="B207" t="s">
        <v>2848</v>
      </c>
      <c r="C207" t="s">
        <v>74</v>
      </c>
      <c r="D207" t="s">
        <v>74</v>
      </c>
      <c r="E207" t="s">
        <v>74</v>
      </c>
      <c r="F207" t="s">
        <v>2848</v>
      </c>
      <c r="G207" t="s">
        <v>74</v>
      </c>
      <c r="H207" t="s">
        <v>74</v>
      </c>
      <c r="I207" t="s">
        <v>2849</v>
      </c>
      <c r="J207" t="s">
        <v>2813</v>
      </c>
      <c r="K207" t="s">
        <v>74</v>
      </c>
      <c r="L207" t="s">
        <v>74</v>
      </c>
      <c r="M207" t="s">
        <v>77</v>
      </c>
      <c r="N207" t="s">
        <v>78</v>
      </c>
      <c r="O207" t="s">
        <v>74</v>
      </c>
      <c r="P207" t="s">
        <v>74</v>
      </c>
      <c r="Q207" t="s">
        <v>74</v>
      </c>
      <c r="R207" t="s">
        <v>74</v>
      </c>
      <c r="S207" t="s">
        <v>74</v>
      </c>
      <c r="T207" t="s">
        <v>2850</v>
      </c>
      <c r="U207" t="s">
        <v>2851</v>
      </c>
      <c r="V207" t="s">
        <v>2852</v>
      </c>
      <c r="W207" t="s">
        <v>2853</v>
      </c>
      <c r="X207" t="s">
        <v>2854</v>
      </c>
      <c r="Y207" t="s">
        <v>2855</v>
      </c>
      <c r="Z207" t="s">
        <v>2856</v>
      </c>
      <c r="AA207" t="s">
        <v>74</v>
      </c>
      <c r="AB207" t="s">
        <v>74</v>
      </c>
      <c r="AC207" t="s">
        <v>74</v>
      </c>
      <c r="AD207" t="s">
        <v>74</v>
      </c>
      <c r="AE207" t="s">
        <v>74</v>
      </c>
      <c r="AF207" t="s">
        <v>74</v>
      </c>
      <c r="AG207">
        <v>82</v>
      </c>
      <c r="AH207">
        <v>86</v>
      </c>
      <c r="AI207">
        <v>89</v>
      </c>
      <c r="AJ207">
        <v>1</v>
      </c>
      <c r="AK207">
        <v>20</v>
      </c>
      <c r="AL207" t="s">
        <v>2823</v>
      </c>
      <c r="AM207" t="s">
        <v>2824</v>
      </c>
      <c r="AN207" t="s">
        <v>2825</v>
      </c>
      <c r="AO207" t="s">
        <v>2826</v>
      </c>
      <c r="AP207" t="s">
        <v>74</v>
      </c>
      <c r="AQ207" t="s">
        <v>74</v>
      </c>
      <c r="AR207" t="s">
        <v>2827</v>
      </c>
      <c r="AS207" t="s">
        <v>2828</v>
      </c>
      <c r="AT207" t="s">
        <v>74</v>
      </c>
      <c r="AU207">
        <v>2001</v>
      </c>
      <c r="AV207">
        <v>223</v>
      </c>
      <c r="AW207" t="s">
        <v>74</v>
      </c>
      <c r="AX207" t="s">
        <v>74</v>
      </c>
      <c r="AY207" t="s">
        <v>74</v>
      </c>
      <c r="AZ207" t="s">
        <v>74</v>
      </c>
      <c r="BA207" t="s">
        <v>74</v>
      </c>
      <c r="BB207">
        <v>261</v>
      </c>
      <c r="BC207">
        <v>276</v>
      </c>
      <c r="BD207" t="s">
        <v>74</v>
      </c>
      <c r="BE207" t="s">
        <v>2857</v>
      </c>
      <c r="BF207" t="str">
        <f>HYPERLINK("http://dx.doi.org/10.3354/meps223261","http://dx.doi.org/10.3354/meps223261")</f>
        <v>http://dx.doi.org/10.3354/meps223261</v>
      </c>
      <c r="BG207" t="s">
        <v>74</v>
      </c>
      <c r="BH207" t="s">
        <v>74</v>
      </c>
      <c r="BI207">
        <v>16</v>
      </c>
      <c r="BJ207" t="s">
        <v>2830</v>
      </c>
      <c r="BK207" t="s">
        <v>94</v>
      </c>
      <c r="BL207" t="s">
        <v>2831</v>
      </c>
      <c r="BM207" t="s">
        <v>2846</v>
      </c>
      <c r="BN207" t="s">
        <v>74</v>
      </c>
      <c r="BO207" t="s">
        <v>1068</v>
      </c>
      <c r="BP207" t="s">
        <v>74</v>
      </c>
      <c r="BQ207" t="s">
        <v>74</v>
      </c>
      <c r="BR207" t="s">
        <v>97</v>
      </c>
      <c r="BS207" t="s">
        <v>2858</v>
      </c>
      <c r="BT207" t="str">
        <f>HYPERLINK("https%3A%2F%2Fwww.webofscience.com%2Fwos%2Fwoscc%2Ffull-record%2FWOS:000173348700023","View Full Record in Web of Science")</f>
        <v>View Full Record in Web of Science</v>
      </c>
    </row>
    <row r="208" spans="1:72" x14ac:dyDescent="0.15">
      <c r="A208" t="s">
        <v>72</v>
      </c>
      <c r="B208" t="s">
        <v>2859</v>
      </c>
      <c r="C208" t="s">
        <v>74</v>
      </c>
      <c r="D208" t="s">
        <v>74</v>
      </c>
      <c r="E208" t="s">
        <v>74</v>
      </c>
      <c r="F208" t="s">
        <v>2859</v>
      </c>
      <c r="G208" t="s">
        <v>74</v>
      </c>
      <c r="H208" t="s">
        <v>74</v>
      </c>
      <c r="I208" t="s">
        <v>2860</v>
      </c>
      <c r="J208" t="s">
        <v>2813</v>
      </c>
      <c r="K208" t="s">
        <v>74</v>
      </c>
      <c r="L208" t="s">
        <v>74</v>
      </c>
      <c r="M208" t="s">
        <v>77</v>
      </c>
      <c r="N208" t="s">
        <v>78</v>
      </c>
      <c r="O208" t="s">
        <v>74</v>
      </c>
      <c r="P208" t="s">
        <v>74</v>
      </c>
      <c r="Q208" t="s">
        <v>74</v>
      </c>
      <c r="R208" t="s">
        <v>74</v>
      </c>
      <c r="S208" t="s">
        <v>74</v>
      </c>
      <c r="T208" t="s">
        <v>2861</v>
      </c>
      <c r="U208" t="s">
        <v>2862</v>
      </c>
      <c r="V208" t="s">
        <v>2863</v>
      </c>
      <c r="W208" t="s">
        <v>2864</v>
      </c>
      <c r="X208" t="s">
        <v>2865</v>
      </c>
      <c r="Y208" t="s">
        <v>2866</v>
      </c>
      <c r="Z208" t="s">
        <v>2867</v>
      </c>
      <c r="AA208" t="s">
        <v>2868</v>
      </c>
      <c r="AB208" t="s">
        <v>2869</v>
      </c>
      <c r="AC208" t="s">
        <v>74</v>
      </c>
      <c r="AD208" t="s">
        <v>74</v>
      </c>
      <c r="AE208" t="s">
        <v>74</v>
      </c>
      <c r="AF208" t="s">
        <v>74</v>
      </c>
      <c r="AG208">
        <v>20</v>
      </c>
      <c r="AH208">
        <v>70</v>
      </c>
      <c r="AI208">
        <v>78</v>
      </c>
      <c r="AJ208">
        <v>0</v>
      </c>
      <c r="AK208">
        <v>6</v>
      </c>
      <c r="AL208" t="s">
        <v>2823</v>
      </c>
      <c r="AM208" t="s">
        <v>2824</v>
      </c>
      <c r="AN208" t="s">
        <v>2825</v>
      </c>
      <c r="AO208" t="s">
        <v>2826</v>
      </c>
      <c r="AP208" t="s">
        <v>74</v>
      </c>
      <c r="AQ208" t="s">
        <v>74</v>
      </c>
      <c r="AR208" t="s">
        <v>2827</v>
      </c>
      <c r="AS208" t="s">
        <v>2828</v>
      </c>
      <c r="AT208" t="s">
        <v>74</v>
      </c>
      <c r="AU208">
        <v>2001</v>
      </c>
      <c r="AV208">
        <v>223</v>
      </c>
      <c r="AW208" t="s">
        <v>74</v>
      </c>
      <c r="AX208" t="s">
        <v>74</v>
      </c>
      <c r="AY208" t="s">
        <v>74</v>
      </c>
      <c r="AZ208" t="s">
        <v>74</v>
      </c>
      <c r="BA208" t="s">
        <v>74</v>
      </c>
      <c r="BB208">
        <v>287</v>
      </c>
      <c r="BC208">
        <v>297</v>
      </c>
      <c r="BD208" t="s">
        <v>74</v>
      </c>
      <c r="BE208" t="s">
        <v>2870</v>
      </c>
      <c r="BF208" t="str">
        <f>HYPERLINK("http://dx.doi.org/10.3354/meps223287","http://dx.doi.org/10.3354/meps223287")</f>
        <v>http://dx.doi.org/10.3354/meps223287</v>
      </c>
      <c r="BG208" t="s">
        <v>74</v>
      </c>
      <c r="BH208" t="s">
        <v>74</v>
      </c>
      <c r="BI208">
        <v>11</v>
      </c>
      <c r="BJ208" t="s">
        <v>2830</v>
      </c>
      <c r="BK208" t="s">
        <v>94</v>
      </c>
      <c r="BL208" t="s">
        <v>2831</v>
      </c>
      <c r="BM208" t="s">
        <v>2846</v>
      </c>
      <c r="BN208" t="s">
        <v>74</v>
      </c>
      <c r="BO208" t="s">
        <v>2871</v>
      </c>
      <c r="BP208" t="s">
        <v>74</v>
      </c>
      <c r="BQ208" t="s">
        <v>74</v>
      </c>
      <c r="BR208" t="s">
        <v>97</v>
      </c>
      <c r="BS208" t="s">
        <v>2872</v>
      </c>
      <c r="BT208" t="str">
        <f>HYPERLINK("https%3A%2F%2Fwww.webofscience.com%2Fwos%2Fwoscc%2Ffull-record%2FWOS:000173348700025","View Full Record in Web of Science")</f>
        <v>View Full Record in Web of Science</v>
      </c>
    </row>
    <row r="209" spans="1:72" x14ac:dyDescent="0.15">
      <c r="A209" t="s">
        <v>72</v>
      </c>
      <c r="B209" t="s">
        <v>2873</v>
      </c>
      <c r="C209" t="s">
        <v>74</v>
      </c>
      <c r="D209" t="s">
        <v>74</v>
      </c>
      <c r="E209" t="s">
        <v>74</v>
      </c>
      <c r="F209" t="s">
        <v>2873</v>
      </c>
      <c r="G209" t="s">
        <v>74</v>
      </c>
      <c r="H209" t="s">
        <v>74</v>
      </c>
      <c r="I209" t="s">
        <v>2874</v>
      </c>
      <c r="J209" t="s">
        <v>2813</v>
      </c>
      <c r="K209" t="s">
        <v>74</v>
      </c>
      <c r="L209" t="s">
        <v>74</v>
      </c>
      <c r="M209" t="s">
        <v>77</v>
      </c>
      <c r="N209" t="s">
        <v>78</v>
      </c>
      <c r="O209" t="s">
        <v>74</v>
      </c>
      <c r="P209" t="s">
        <v>74</v>
      </c>
      <c r="Q209" t="s">
        <v>74</v>
      </c>
      <c r="R209" t="s">
        <v>74</v>
      </c>
      <c r="S209" t="s">
        <v>74</v>
      </c>
      <c r="T209" t="s">
        <v>2875</v>
      </c>
      <c r="U209" t="s">
        <v>2876</v>
      </c>
      <c r="V209" t="s">
        <v>2877</v>
      </c>
      <c r="W209" t="s">
        <v>2878</v>
      </c>
      <c r="X209" t="s">
        <v>2879</v>
      </c>
      <c r="Y209" t="s">
        <v>2880</v>
      </c>
      <c r="Z209" t="s">
        <v>2881</v>
      </c>
      <c r="AA209" t="s">
        <v>2882</v>
      </c>
      <c r="AB209" t="s">
        <v>2883</v>
      </c>
      <c r="AC209" t="s">
        <v>74</v>
      </c>
      <c r="AD209" t="s">
        <v>74</v>
      </c>
      <c r="AE209" t="s">
        <v>74</v>
      </c>
      <c r="AF209" t="s">
        <v>74</v>
      </c>
      <c r="AG209">
        <v>67</v>
      </c>
      <c r="AH209">
        <v>57</v>
      </c>
      <c r="AI209">
        <v>65</v>
      </c>
      <c r="AJ209">
        <v>1</v>
      </c>
      <c r="AK209">
        <v>26</v>
      </c>
      <c r="AL209" t="s">
        <v>2823</v>
      </c>
      <c r="AM209" t="s">
        <v>2824</v>
      </c>
      <c r="AN209" t="s">
        <v>2825</v>
      </c>
      <c r="AO209" t="s">
        <v>2826</v>
      </c>
      <c r="AP209" t="s">
        <v>74</v>
      </c>
      <c r="AQ209" t="s">
        <v>74</v>
      </c>
      <c r="AR209" t="s">
        <v>2827</v>
      </c>
      <c r="AS209" t="s">
        <v>2828</v>
      </c>
      <c r="AT209" t="s">
        <v>74</v>
      </c>
      <c r="AU209">
        <v>2001</v>
      </c>
      <c r="AV209">
        <v>222</v>
      </c>
      <c r="AW209" t="s">
        <v>74</v>
      </c>
      <c r="AX209" t="s">
        <v>74</v>
      </c>
      <c r="AY209" t="s">
        <v>74</v>
      </c>
      <c r="AZ209" t="s">
        <v>74</v>
      </c>
      <c r="BA209" t="s">
        <v>74</v>
      </c>
      <c r="BB209">
        <v>25</v>
      </c>
      <c r="BC209">
        <v>39</v>
      </c>
      <c r="BD209" t="s">
        <v>74</v>
      </c>
      <c r="BE209" t="s">
        <v>2884</v>
      </c>
      <c r="BF209" t="str">
        <f>HYPERLINK("http://dx.doi.org/10.3354/meps222025","http://dx.doi.org/10.3354/meps222025")</f>
        <v>http://dx.doi.org/10.3354/meps222025</v>
      </c>
      <c r="BG209" t="s">
        <v>74</v>
      </c>
      <c r="BH209" t="s">
        <v>74</v>
      </c>
      <c r="BI209">
        <v>15</v>
      </c>
      <c r="BJ209" t="s">
        <v>2830</v>
      </c>
      <c r="BK209" t="s">
        <v>94</v>
      </c>
      <c r="BL209" t="s">
        <v>2831</v>
      </c>
      <c r="BM209" t="s">
        <v>2885</v>
      </c>
      <c r="BN209" t="s">
        <v>74</v>
      </c>
      <c r="BO209" t="s">
        <v>2294</v>
      </c>
      <c r="BP209" t="s">
        <v>74</v>
      </c>
      <c r="BQ209" t="s">
        <v>74</v>
      </c>
      <c r="BR209" t="s">
        <v>97</v>
      </c>
      <c r="BS209" t="s">
        <v>2886</v>
      </c>
      <c r="BT209" t="str">
        <f>HYPERLINK("https%3A%2F%2Fwww.webofscience.com%2Fwos%2Fwoscc%2Ffull-record%2FWOS:000172516300002","View Full Record in Web of Science")</f>
        <v>View Full Record in Web of Science</v>
      </c>
    </row>
    <row r="210" spans="1:72" x14ac:dyDescent="0.15">
      <c r="A210" t="s">
        <v>72</v>
      </c>
      <c r="B210" t="s">
        <v>2887</v>
      </c>
      <c r="C210" t="s">
        <v>74</v>
      </c>
      <c r="D210" t="s">
        <v>74</v>
      </c>
      <c r="E210" t="s">
        <v>74</v>
      </c>
      <c r="F210" t="s">
        <v>2887</v>
      </c>
      <c r="G210" t="s">
        <v>74</v>
      </c>
      <c r="H210" t="s">
        <v>74</v>
      </c>
      <c r="I210" t="s">
        <v>2888</v>
      </c>
      <c r="J210" t="s">
        <v>2813</v>
      </c>
      <c r="K210" t="s">
        <v>74</v>
      </c>
      <c r="L210" t="s">
        <v>74</v>
      </c>
      <c r="M210" t="s">
        <v>77</v>
      </c>
      <c r="N210" t="s">
        <v>78</v>
      </c>
      <c r="O210" t="s">
        <v>74</v>
      </c>
      <c r="P210" t="s">
        <v>74</v>
      </c>
      <c r="Q210" t="s">
        <v>74</v>
      </c>
      <c r="R210" t="s">
        <v>74</v>
      </c>
      <c r="S210" t="s">
        <v>74</v>
      </c>
      <c r="T210" t="s">
        <v>2889</v>
      </c>
      <c r="U210" t="s">
        <v>2890</v>
      </c>
      <c r="V210" t="s">
        <v>2891</v>
      </c>
      <c r="W210" t="s">
        <v>2892</v>
      </c>
      <c r="X210" t="s">
        <v>2893</v>
      </c>
      <c r="Y210" t="s">
        <v>2894</v>
      </c>
      <c r="Z210" t="s">
        <v>2895</v>
      </c>
      <c r="AA210" t="s">
        <v>2896</v>
      </c>
      <c r="AB210" t="s">
        <v>2897</v>
      </c>
      <c r="AC210" t="s">
        <v>74</v>
      </c>
      <c r="AD210" t="s">
        <v>74</v>
      </c>
      <c r="AE210" t="s">
        <v>74</v>
      </c>
      <c r="AF210" t="s">
        <v>74</v>
      </c>
      <c r="AG210">
        <v>69</v>
      </c>
      <c r="AH210">
        <v>30</v>
      </c>
      <c r="AI210">
        <v>35</v>
      </c>
      <c r="AJ210">
        <v>2</v>
      </c>
      <c r="AK210">
        <v>19</v>
      </c>
      <c r="AL210" t="s">
        <v>2823</v>
      </c>
      <c r="AM210" t="s">
        <v>2824</v>
      </c>
      <c r="AN210" t="s">
        <v>2825</v>
      </c>
      <c r="AO210" t="s">
        <v>2826</v>
      </c>
      <c r="AP210" t="s">
        <v>74</v>
      </c>
      <c r="AQ210" t="s">
        <v>74</v>
      </c>
      <c r="AR210" t="s">
        <v>2827</v>
      </c>
      <c r="AS210" t="s">
        <v>2828</v>
      </c>
      <c r="AT210" t="s">
        <v>74</v>
      </c>
      <c r="AU210">
        <v>2001</v>
      </c>
      <c r="AV210">
        <v>222</v>
      </c>
      <c r="AW210" t="s">
        <v>74</v>
      </c>
      <c r="AX210" t="s">
        <v>74</v>
      </c>
      <c r="AY210" t="s">
        <v>74</v>
      </c>
      <c r="AZ210" t="s">
        <v>74</v>
      </c>
      <c r="BA210" t="s">
        <v>74</v>
      </c>
      <c r="BB210">
        <v>265</v>
      </c>
      <c r="BC210">
        <v>277</v>
      </c>
      <c r="BD210" t="s">
        <v>74</v>
      </c>
      <c r="BE210" t="s">
        <v>2898</v>
      </c>
      <c r="BF210" t="str">
        <f>HYPERLINK("http://dx.doi.org/10.3354/meps222265","http://dx.doi.org/10.3354/meps222265")</f>
        <v>http://dx.doi.org/10.3354/meps222265</v>
      </c>
      <c r="BG210" t="s">
        <v>74</v>
      </c>
      <c r="BH210" t="s">
        <v>74</v>
      </c>
      <c r="BI210">
        <v>13</v>
      </c>
      <c r="BJ210" t="s">
        <v>2830</v>
      </c>
      <c r="BK210" t="s">
        <v>94</v>
      </c>
      <c r="BL210" t="s">
        <v>2831</v>
      </c>
      <c r="BM210" t="s">
        <v>2885</v>
      </c>
      <c r="BN210" t="s">
        <v>74</v>
      </c>
      <c r="BO210" t="s">
        <v>2294</v>
      </c>
      <c r="BP210" t="s">
        <v>74</v>
      </c>
      <c r="BQ210" t="s">
        <v>74</v>
      </c>
      <c r="BR210" t="s">
        <v>97</v>
      </c>
      <c r="BS210" t="s">
        <v>2899</v>
      </c>
      <c r="BT210" t="str">
        <f>HYPERLINK("https%3A%2F%2Fwww.webofscience.com%2Fwos%2Fwoscc%2Ffull-record%2FWOS:000172516300023","View Full Record in Web of Science")</f>
        <v>View Full Record in Web of Science</v>
      </c>
    </row>
    <row r="211" spans="1:72" x14ac:dyDescent="0.15">
      <c r="A211" t="s">
        <v>72</v>
      </c>
      <c r="B211" t="s">
        <v>2900</v>
      </c>
      <c r="C211" t="s">
        <v>74</v>
      </c>
      <c r="D211" t="s">
        <v>74</v>
      </c>
      <c r="E211" t="s">
        <v>74</v>
      </c>
      <c r="F211" t="s">
        <v>2900</v>
      </c>
      <c r="G211" t="s">
        <v>74</v>
      </c>
      <c r="H211" t="s">
        <v>74</v>
      </c>
      <c r="I211" t="s">
        <v>2901</v>
      </c>
      <c r="J211" t="s">
        <v>2813</v>
      </c>
      <c r="K211" t="s">
        <v>74</v>
      </c>
      <c r="L211" t="s">
        <v>74</v>
      </c>
      <c r="M211" t="s">
        <v>77</v>
      </c>
      <c r="N211" t="s">
        <v>236</v>
      </c>
      <c r="O211" t="s">
        <v>74</v>
      </c>
      <c r="P211" t="s">
        <v>74</v>
      </c>
      <c r="Q211" t="s">
        <v>74</v>
      </c>
      <c r="R211" t="s">
        <v>74</v>
      </c>
      <c r="S211" t="s">
        <v>74</v>
      </c>
      <c r="T211" t="s">
        <v>2902</v>
      </c>
      <c r="U211" t="s">
        <v>2903</v>
      </c>
      <c r="V211" t="s">
        <v>2904</v>
      </c>
      <c r="W211" t="s">
        <v>2905</v>
      </c>
      <c r="X211" t="s">
        <v>2906</v>
      </c>
      <c r="Y211" t="s">
        <v>2907</v>
      </c>
      <c r="Z211" t="s">
        <v>2908</v>
      </c>
      <c r="AA211" t="s">
        <v>2909</v>
      </c>
      <c r="AB211" t="s">
        <v>2910</v>
      </c>
      <c r="AC211" t="s">
        <v>74</v>
      </c>
      <c r="AD211" t="s">
        <v>74</v>
      </c>
      <c r="AE211" t="s">
        <v>74</v>
      </c>
      <c r="AF211" t="s">
        <v>74</v>
      </c>
      <c r="AG211">
        <v>113</v>
      </c>
      <c r="AH211">
        <v>137</v>
      </c>
      <c r="AI211">
        <v>148</v>
      </c>
      <c r="AJ211">
        <v>1</v>
      </c>
      <c r="AK211">
        <v>39</v>
      </c>
      <c r="AL211" t="s">
        <v>2823</v>
      </c>
      <c r="AM211" t="s">
        <v>2824</v>
      </c>
      <c r="AN211" t="s">
        <v>2825</v>
      </c>
      <c r="AO211" t="s">
        <v>2826</v>
      </c>
      <c r="AP211" t="s">
        <v>2911</v>
      </c>
      <c r="AQ211" t="s">
        <v>74</v>
      </c>
      <c r="AR211" t="s">
        <v>2827</v>
      </c>
      <c r="AS211" t="s">
        <v>2828</v>
      </c>
      <c r="AT211" t="s">
        <v>74</v>
      </c>
      <c r="AU211">
        <v>2001</v>
      </c>
      <c r="AV211">
        <v>221</v>
      </c>
      <c r="AW211" t="s">
        <v>74</v>
      </c>
      <c r="AX211" t="s">
        <v>74</v>
      </c>
      <c r="AY211" t="s">
        <v>74</v>
      </c>
      <c r="AZ211" t="s">
        <v>74</v>
      </c>
      <c r="BA211" t="s">
        <v>74</v>
      </c>
      <c r="BB211">
        <v>59</v>
      </c>
      <c r="BC211">
        <v>75</v>
      </c>
      <c r="BD211" t="s">
        <v>74</v>
      </c>
      <c r="BE211" t="s">
        <v>2912</v>
      </c>
      <c r="BF211" t="str">
        <f>HYPERLINK("http://dx.doi.org/10.3354/meps221059","http://dx.doi.org/10.3354/meps221059")</f>
        <v>http://dx.doi.org/10.3354/meps221059</v>
      </c>
      <c r="BG211" t="s">
        <v>74</v>
      </c>
      <c r="BH211" t="s">
        <v>74</v>
      </c>
      <c r="BI211">
        <v>17</v>
      </c>
      <c r="BJ211" t="s">
        <v>2830</v>
      </c>
      <c r="BK211" t="s">
        <v>94</v>
      </c>
      <c r="BL211" t="s">
        <v>2831</v>
      </c>
      <c r="BM211" t="s">
        <v>2913</v>
      </c>
      <c r="BN211" t="s">
        <v>74</v>
      </c>
      <c r="BO211" t="s">
        <v>2428</v>
      </c>
      <c r="BP211" t="s">
        <v>74</v>
      </c>
      <c r="BQ211" t="s">
        <v>74</v>
      </c>
      <c r="BR211" t="s">
        <v>97</v>
      </c>
      <c r="BS211" t="s">
        <v>2914</v>
      </c>
      <c r="BT211" t="str">
        <f>HYPERLINK("https%3A%2F%2Fwww.webofscience.com%2Fwos%2Fwoscc%2Ffull-record%2FWOS:000172382700006","View Full Record in Web of Science")</f>
        <v>View Full Record in Web of Science</v>
      </c>
    </row>
    <row r="212" spans="1:72" x14ac:dyDescent="0.15">
      <c r="A212" t="s">
        <v>72</v>
      </c>
      <c r="B212" t="s">
        <v>2915</v>
      </c>
      <c r="C212" t="s">
        <v>74</v>
      </c>
      <c r="D212" t="s">
        <v>74</v>
      </c>
      <c r="E212" t="s">
        <v>74</v>
      </c>
      <c r="F212" t="s">
        <v>2915</v>
      </c>
      <c r="G212" t="s">
        <v>74</v>
      </c>
      <c r="H212" t="s">
        <v>74</v>
      </c>
      <c r="I212" t="s">
        <v>2916</v>
      </c>
      <c r="J212" t="s">
        <v>2813</v>
      </c>
      <c r="K212" t="s">
        <v>74</v>
      </c>
      <c r="L212" t="s">
        <v>74</v>
      </c>
      <c r="M212" t="s">
        <v>77</v>
      </c>
      <c r="N212" t="s">
        <v>78</v>
      </c>
      <c r="O212" t="s">
        <v>74</v>
      </c>
      <c r="P212" t="s">
        <v>74</v>
      </c>
      <c r="Q212" t="s">
        <v>74</v>
      </c>
      <c r="R212" t="s">
        <v>74</v>
      </c>
      <c r="S212" t="s">
        <v>74</v>
      </c>
      <c r="T212" t="s">
        <v>2917</v>
      </c>
      <c r="U212" t="s">
        <v>2918</v>
      </c>
      <c r="V212" t="s">
        <v>2919</v>
      </c>
      <c r="W212" t="s">
        <v>2920</v>
      </c>
      <c r="X212" t="s">
        <v>2921</v>
      </c>
      <c r="Y212" t="s">
        <v>2922</v>
      </c>
      <c r="Z212" t="s">
        <v>2923</v>
      </c>
      <c r="AA212" t="s">
        <v>74</v>
      </c>
      <c r="AB212" t="s">
        <v>74</v>
      </c>
      <c r="AC212" t="s">
        <v>74</v>
      </c>
      <c r="AD212" t="s">
        <v>74</v>
      </c>
      <c r="AE212" t="s">
        <v>74</v>
      </c>
      <c r="AF212" t="s">
        <v>74</v>
      </c>
      <c r="AG212">
        <v>57</v>
      </c>
      <c r="AH212">
        <v>123</v>
      </c>
      <c r="AI212">
        <v>129</v>
      </c>
      <c r="AJ212">
        <v>0</v>
      </c>
      <c r="AK212">
        <v>42</v>
      </c>
      <c r="AL212" t="s">
        <v>2823</v>
      </c>
      <c r="AM212" t="s">
        <v>2824</v>
      </c>
      <c r="AN212" t="s">
        <v>2825</v>
      </c>
      <c r="AO212" t="s">
        <v>2826</v>
      </c>
      <c r="AP212" t="s">
        <v>74</v>
      </c>
      <c r="AQ212" t="s">
        <v>74</v>
      </c>
      <c r="AR212" t="s">
        <v>2827</v>
      </c>
      <c r="AS212" t="s">
        <v>2828</v>
      </c>
      <c r="AT212" t="s">
        <v>74</v>
      </c>
      <c r="AU212">
        <v>2001</v>
      </c>
      <c r="AV212">
        <v>221</v>
      </c>
      <c r="AW212" t="s">
        <v>74</v>
      </c>
      <c r="AX212" t="s">
        <v>74</v>
      </c>
      <c r="AY212" t="s">
        <v>74</v>
      </c>
      <c r="AZ212" t="s">
        <v>74</v>
      </c>
      <c r="BA212" t="s">
        <v>74</v>
      </c>
      <c r="BB212">
        <v>285</v>
      </c>
      <c r="BC212">
        <v>297</v>
      </c>
      <c r="BD212" t="s">
        <v>74</v>
      </c>
      <c r="BE212" t="s">
        <v>2924</v>
      </c>
      <c r="BF212" t="str">
        <f>HYPERLINK("http://dx.doi.org/10.3354/meps221285","http://dx.doi.org/10.3354/meps221285")</f>
        <v>http://dx.doi.org/10.3354/meps221285</v>
      </c>
      <c r="BG212" t="s">
        <v>74</v>
      </c>
      <c r="BH212" t="s">
        <v>74</v>
      </c>
      <c r="BI212">
        <v>13</v>
      </c>
      <c r="BJ212" t="s">
        <v>2830</v>
      </c>
      <c r="BK212" t="s">
        <v>94</v>
      </c>
      <c r="BL212" t="s">
        <v>2831</v>
      </c>
      <c r="BM212" t="s">
        <v>2913</v>
      </c>
      <c r="BN212" t="s">
        <v>74</v>
      </c>
      <c r="BO212" t="s">
        <v>1755</v>
      </c>
      <c r="BP212" t="s">
        <v>74</v>
      </c>
      <c r="BQ212" t="s">
        <v>74</v>
      </c>
      <c r="BR212" t="s">
        <v>97</v>
      </c>
      <c r="BS212" t="s">
        <v>2925</v>
      </c>
      <c r="BT212" t="str">
        <f>HYPERLINK("https%3A%2F%2Fwww.webofscience.com%2Fwos%2Fwoscc%2Ffull-record%2FWOS:000172382700024","View Full Record in Web of Science")</f>
        <v>View Full Record in Web of Science</v>
      </c>
    </row>
    <row r="213" spans="1:72" x14ac:dyDescent="0.15">
      <c r="A213" t="s">
        <v>72</v>
      </c>
      <c r="B213" t="s">
        <v>2926</v>
      </c>
      <c r="C213" t="s">
        <v>74</v>
      </c>
      <c r="D213" t="s">
        <v>74</v>
      </c>
      <c r="E213" t="s">
        <v>74</v>
      </c>
      <c r="F213" t="s">
        <v>2926</v>
      </c>
      <c r="G213" t="s">
        <v>74</v>
      </c>
      <c r="H213" t="s">
        <v>74</v>
      </c>
      <c r="I213" t="s">
        <v>2927</v>
      </c>
      <c r="J213" t="s">
        <v>2813</v>
      </c>
      <c r="K213" t="s">
        <v>74</v>
      </c>
      <c r="L213" t="s">
        <v>74</v>
      </c>
      <c r="M213" t="s">
        <v>77</v>
      </c>
      <c r="N213" t="s">
        <v>78</v>
      </c>
      <c r="O213" t="s">
        <v>74</v>
      </c>
      <c r="P213" t="s">
        <v>74</v>
      </c>
      <c r="Q213" t="s">
        <v>74</v>
      </c>
      <c r="R213" t="s">
        <v>74</v>
      </c>
      <c r="S213" t="s">
        <v>74</v>
      </c>
      <c r="T213" t="s">
        <v>2928</v>
      </c>
      <c r="U213" t="s">
        <v>2929</v>
      </c>
      <c r="V213" t="s">
        <v>2930</v>
      </c>
      <c r="W213" t="s">
        <v>2931</v>
      </c>
      <c r="X213" t="s">
        <v>2932</v>
      </c>
      <c r="Y213" t="s">
        <v>2933</v>
      </c>
      <c r="Z213" t="s">
        <v>2934</v>
      </c>
      <c r="AA213" t="s">
        <v>2935</v>
      </c>
      <c r="AB213" t="s">
        <v>2936</v>
      </c>
      <c r="AC213" t="s">
        <v>74</v>
      </c>
      <c r="AD213" t="s">
        <v>74</v>
      </c>
      <c r="AE213" t="s">
        <v>74</v>
      </c>
      <c r="AF213" t="s">
        <v>74</v>
      </c>
      <c r="AG213">
        <v>83</v>
      </c>
      <c r="AH213">
        <v>41</v>
      </c>
      <c r="AI213">
        <v>48</v>
      </c>
      <c r="AJ213">
        <v>0</v>
      </c>
      <c r="AK213">
        <v>25</v>
      </c>
      <c r="AL213" t="s">
        <v>2823</v>
      </c>
      <c r="AM213" t="s">
        <v>2824</v>
      </c>
      <c r="AN213" t="s">
        <v>2825</v>
      </c>
      <c r="AO213" t="s">
        <v>2826</v>
      </c>
      <c r="AP213" t="s">
        <v>2911</v>
      </c>
      <c r="AQ213" t="s">
        <v>74</v>
      </c>
      <c r="AR213" t="s">
        <v>2827</v>
      </c>
      <c r="AS213" t="s">
        <v>2828</v>
      </c>
      <c r="AT213" t="s">
        <v>74</v>
      </c>
      <c r="AU213">
        <v>2001</v>
      </c>
      <c r="AV213">
        <v>219</v>
      </c>
      <c r="AW213" t="s">
        <v>74</v>
      </c>
      <c r="AX213" t="s">
        <v>74</v>
      </c>
      <c r="AY213" t="s">
        <v>74</v>
      </c>
      <c r="AZ213" t="s">
        <v>74</v>
      </c>
      <c r="BA213" t="s">
        <v>74</v>
      </c>
      <c r="BB213">
        <v>51</v>
      </c>
      <c r="BC213">
        <v>64</v>
      </c>
      <c r="BD213" t="s">
        <v>74</v>
      </c>
      <c r="BE213" t="s">
        <v>2937</v>
      </c>
      <c r="BF213" t="str">
        <f>HYPERLINK("http://dx.doi.org/10.3354/meps219051","http://dx.doi.org/10.3354/meps219051")</f>
        <v>http://dx.doi.org/10.3354/meps219051</v>
      </c>
      <c r="BG213" t="s">
        <v>74</v>
      </c>
      <c r="BH213" t="s">
        <v>74</v>
      </c>
      <c r="BI213">
        <v>14</v>
      </c>
      <c r="BJ213" t="s">
        <v>2830</v>
      </c>
      <c r="BK213" t="s">
        <v>94</v>
      </c>
      <c r="BL213" t="s">
        <v>2831</v>
      </c>
      <c r="BM213" t="s">
        <v>2938</v>
      </c>
      <c r="BN213" t="s">
        <v>74</v>
      </c>
      <c r="BO213" t="s">
        <v>2428</v>
      </c>
      <c r="BP213" t="s">
        <v>74</v>
      </c>
      <c r="BQ213" t="s">
        <v>74</v>
      </c>
      <c r="BR213" t="s">
        <v>97</v>
      </c>
      <c r="BS213" t="s">
        <v>2939</v>
      </c>
      <c r="BT213" t="str">
        <f>HYPERLINK("https%3A%2F%2Fwww.webofscience.com%2Fwos%2Fwoscc%2Ffull-record%2FWOS:000171439300005","View Full Record in Web of Science")</f>
        <v>View Full Record in Web of Science</v>
      </c>
    </row>
    <row r="214" spans="1:72" x14ac:dyDescent="0.15">
      <c r="A214" t="s">
        <v>72</v>
      </c>
      <c r="B214" t="s">
        <v>2940</v>
      </c>
      <c r="C214" t="s">
        <v>74</v>
      </c>
      <c r="D214" t="s">
        <v>74</v>
      </c>
      <c r="E214" t="s">
        <v>74</v>
      </c>
      <c r="F214" t="s">
        <v>2940</v>
      </c>
      <c r="G214" t="s">
        <v>74</v>
      </c>
      <c r="H214" t="s">
        <v>74</v>
      </c>
      <c r="I214" t="s">
        <v>2941</v>
      </c>
      <c r="J214" t="s">
        <v>2813</v>
      </c>
      <c r="K214" t="s">
        <v>74</v>
      </c>
      <c r="L214" t="s">
        <v>74</v>
      </c>
      <c r="M214" t="s">
        <v>77</v>
      </c>
      <c r="N214" t="s">
        <v>78</v>
      </c>
      <c r="O214" t="s">
        <v>74</v>
      </c>
      <c r="P214" t="s">
        <v>74</v>
      </c>
      <c r="Q214" t="s">
        <v>74</v>
      </c>
      <c r="R214" t="s">
        <v>74</v>
      </c>
      <c r="S214" t="s">
        <v>74</v>
      </c>
      <c r="T214" t="s">
        <v>2942</v>
      </c>
      <c r="U214" t="s">
        <v>2943</v>
      </c>
      <c r="V214" t="s">
        <v>2944</v>
      </c>
      <c r="W214" t="s">
        <v>833</v>
      </c>
      <c r="X214" t="s">
        <v>221</v>
      </c>
      <c r="Y214" t="s">
        <v>961</v>
      </c>
      <c r="Z214" t="s">
        <v>2945</v>
      </c>
      <c r="AA214" t="s">
        <v>74</v>
      </c>
      <c r="AB214" t="s">
        <v>74</v>
      </c>
      <c r="AC214" t="s">
        <v>74</v>
      </c>
      <c r="AD214" t="s">
        <v>74</v>
      </c>
      <c r="AE214" t="s">
        <v>74</v>
      </c>
      <c r="AF214" t="s">
        <v>74</v>
      </c>
      <c r="AG214">
        <v>55</v>
      </c>
      <c r="AH214">
        <v>48</v>
      </c>
      <c r="AI214">
        <v>50</v>
      </c>
      <c r="AJ214">
        <v>0</v>
      </c>
      <c r="AK214">
        <v>22</v>
      </c>
      <c r="AL214" t="s">
        <v>2823</v>
      </c>
      <c r="AM214" t="s">
        <v>2824</v>
      </c>
      <c r="AN214" t="s">
        <v>2825</v>
      </c>
      <c r="AO214" t="s">
        <v>2826</v>
      </c>
      <c r="AP214" t="s">
        <v>2911</v>
      </c>
      <c r="AQ214" t="s">
        <v>74</v>
      </c>
      <c r="AR214" t="s">
        <v>2827</v>
      </c>
      <c r="AS214" t="s">
        <v>2828</v>
      </c>
      <c r="AT214" t="s">
        <v>74</v>
      </c>
      <c r="AU214">
        <v>2001</v>
      </c>
      <c r="AV214">
        <v>219</v>
      </c>
      <c r="AW214" t="s">
        <v>74</v>
      </c>
      <c r="AX214" t="s">
        <v>74</v>
      </c>
      <c r="AY214" t="s">
        <v>74</v>
      </c>
      <c r="AZ214" t="s">
        <v>74</v>
      </c>
      <c r="BA214" t="s">
        <v>74</v>
      </c>
      <c r="BB214">
        <v>159</v>
      </c>
      <c r="BC214">
        <v>168</v>
      </c>
      <c r="BD214" t="s">
        <v>74</v>
      </c>
      <c r="BE214" t="s">
        <v>2946</v>
      </c>
      <c r="BF214" t="str">
        <f>HYPERLINK("http://dx.doi.org/10.3354/meps219159","http://dx.doi.org/10.3354/meps219159")</f>
        <v>http://dx.doi.org/10.3354/meps219159</v>
      </c>
      <c r="BG214" t="s">
        <v>74</v>
      </c>
      <c r="BH214" t="s">
        <v>74</v>
      </c>
      <c r="BI214">
        <v>10</v>
      </c>
      <c r="BJ214" t="s">
        <v>2830</v>
      </c>
      <c r="BK214" t="s">
        <v>94</v>
      </c>
      <c r="BL214" t="s">
        <v>2831</v>
      </c>
      <c r="BM214" t="s">
        <v>2938</v>
      </c>
      <c r="BN214" t="s">
        <v>74</v>
      </c>
      <c r="BO214" t="s">
        <v>2451</v>
      </c>
      <c r="BP214" t="s">
        <v>74</v>
      </c>
      <c r="BQ214" t="s">
        <v>74</v>
      </c>
      <c r="BR214" t="s">
        <v>97</v>
      </c>
      <c r="BS214" t="s">
        <v>2947</v>
      </c>
      <c r="BT214" t="str">
        <f>HYPERLINK("https%3A%2F%2Fwww.webofscience.com%2Fwos%2Fwoscc%2Ffull-record%2FWOS:000171439300013","View Full Record in Web of Science")</f>
        <v>View Full Record in Web of Science</v>
      </c>
    </row>
    <row r="215" spans="1:72" x14ac:dyDescent="0.15">
      <c r="A215" t="s">
        <v>72</v>
      </c>
      <c r="B215" t="s">
        <v>2948</v>
      </c>
      <c r="C215" t="s">
        <v>74</v>
      </c>
      <c r="D215" t="s">
        <v>74</v>
      </c>
      <c r="E215" t="s">
        <v>74</v>
      </c>
      <c r="F215" t="s">
        <v>2948</v>
      </c>
      <c r="G215" t="s">
        <v>74</v>
      </c>
      <c r="H215" t="s">
        <v>74</v>
      </c>
      <c r="I215" t="s">
        <v>2949</v>
      </c>
      <c r="J215" t="s">
        <v>2813</v>
      </c>
      <c r="K215" t="s">
        <v>74</v>
      </c>
      <c r="L215" t="s">
        <v>74</v>
      </c>
      <c r="M215" t="s">
        <v>77</v>
      </c>
      <c r="N215" t="s">
        <v>78</v>
      </c>
      <c r="O215" t="s">
        <v>74</v>
      </c>
      <c r="P215" t="s">
        <v>74</v>
      </c>
      <c r="Q215" t="s">
        <v>74</v>
      </c>
      <c r="R215" t="s">
        <v>74</v>
      </c>
      <c r="S215" t="s">
        <v>74</v>
      </c>
      <c r="T215" t="s">
        <v>2950</v>
      </c>
      <c r="U215" t="s">
        <v>2951</v>
      </c>
      <c r="V215" t="s">
        <v>2952</v>
      </c>
      <c r="W215" t="s">
        <v>2953</v>
      </c>
      <c r="X215" t="s">
        <v>2954</v>
      </c>
      <c r="Y215" t="s">
        <v>2955</v>
      </c>
      <c r="Z215" t="s">
        <v>2956</v>
      </c>
      <c r="AA215" t="s">
        <v>2868</v>
      </c>
      <c r="AB215" t="s">
        <v>2957</v>
      </c>
      <c r="AC215" t="s">
        <v>74</v>
      </c>
      <c r="AD215" t="s">
        <v>74</v>
      </c>
      <c r="AE215" t="s">
        <v>74</v>
      </c>
      <c r="AF215" t="s">
        <v>74</v>
      </c>
      <c r="AG215">
        <v>50</v>
      </c>
      <c r="AH215">
        <v>170</v>
      </c>
      <c r="AI215">
        <v>194</v>
      </c>
      <c r="AJ215">
        <v>0</v>
      </c>
      <c r="AK215">
        <v>48</v>
      </c>
      <c r="AL215" t="s">
        <v>2823</v>
      </c>
      <c r="AM215" t="s">
        <v>2824</v>
      </c>
      <c r="AN215" t="s">
        <v>2825</v>
      </c>
      <c r="AO215" t="s">
        <v>2826</v>
      </c>
      <c r="AP215" t="s">
        <v>2911</v>
      </c>
      <c r="AQ215" t="s">
        <v>74</v>
      </c>
      <c r="AR215" t="s">
        <v>2827</v>
      </c>
      <c r="AS215" t="s">
        <v>2828</v>
      </c>
      <c r="AT215" t="s">
        <v>74</v>
      </c>
      <c r="AU215">
        <v>2001</v>
      </c>
      <c r="AV215">
        <v>219</v>
      </c>
      <c r="AW215" t="s">
        <v>74</v>
      </c>
      <c r="AX215" t="s">
        <v>74</v>
      </c>
      <c r="AY215" t="s">
        <v>74</v>
      </c>
      <c r="AZ215" t="s">
        <v>74</v>
      </c>
      <c r="BA215" t="s">
        <v>74</v>
      </c>
      <c r="BB215">
        <v>251</v>
      </c>
      <c r="BC215">
        <v>264</v>
      </c>
      <c r="BD215" t="s">
        <v>74</v>
      </c>
      <c r="BE215" t="s">
        <v>2958</v>
      </c>
      <c r="BF215" t="str">
        <f>HYPERLINK("http://dx.doi.org/10.3354/meps219251","http://dx.doi.org/10.3354/meps219251")</f>
        <v>http://dx.doi.org/10.3354/meps219251</v>
      </c>
      <c r="BG215" t="s">
        <v>74</v>
      </c>
      <c r="BH215" t="s">
        <v>74</v>
      </c>
      <c r="BI215">
        <v>14</v>
      </c>
      <c r="BJ215" t="s">
        <v>2830</v>
      </c>
      <c r="BK215" t="s">
        <v>94</v>
      </c>
      <c r="BL215" t="s">
        <v>2831</v>
      </c>
      <c r="BM215" t="s">
        <v>2938</v>
      </c>
      <c r="BN215" t="s">
        <v>74</v>
      </c>
      <c r="BO215" t="s">
        <v>2959</v>
      </c>
      <c r="BP215" t="s">
        <v>74</v>
      </c>
      <c r="BQ215" t="s">
        <v>74</v>
      </c>
      <c r="BR215" t="s">
        <v>97</v>
      </c>
      <c r="BS215" t="s">
        <v>2960</v>
      </c>
      <c r="BT215" t="str">
        <f>HYPERLINK("https%3A%2F%2Fwww.webofscience.com%2Fwos%2Fwoscc%2Ffull-record%2FWOS:000171439300021","View Full Record in Web of Science")</f>
        <v>View Full Record in Web of Science</v>
      </c>
    </row>
    <row r="216" spans="1:72" x14ac:dyDescent="0.15">
      <c r="A216" t="s">
        <v>72</v>
      </c>
      <c r="B216" t="s">
        <v>2961</v>
      </c>
      <c r="C216" t="s">
        <v>74</v>
      </c>
      <c r="D216" t="s">
        <v>74</v>
      </c>
      <c r="E216" t="s">
        <v>74</v>
      </c>
      <c r="F216" t="s">
        <v>2961</v>
      </c>
      <c r="G216" t="s">
        <v>74</v>
      </c>
      <c r="H216" t="s">
        <v>74</v>
      </c>
      <c r="I216" t="s">
        <v>2962</v>
      </c>
      <c r="J216" t="s">
        <v>2813</v>
      </c>
      <c r="K216" t="s">
        <v>74</v>
      </c>
      <c r="L216" t="s">
        <v>74</v>
      </c>
      <c r="M216" t="s">
        <v>77</v>
      </c>
      <c r="N216" t="s">
        <v>78</v>
      </c>
      <c r="O216" t="s">
        <v>74</v>
      </c>
      <c r="P216" t="s">
        <v>74</v>
      </c>
      <c r="Q216" t="s">
        <v>74</v>
      </c>
      <c r="R216" t="s">
        <v>74</v>
      </c>
      <c r="S216" t="s">
        <v>74</v>
      </c>
      <c r="T216" t="s">
        <v>2963</v>
      </c>
      <c r="U216" t="s">
        <v>2964</v>
      </c>
      <c r="V216" t="s">
        <v>2965</v>
      </c>
      <c r="W216" t="s">
        <v>2966</v>
      </c>
      <c r="X216" t="s">
        <v>2967</v>
      </c>
      <c r="Y216" t="s">
        <v>2968</v>
      </c>
      <c r="Z216" t="s">
        <v>2969</v>
      </c>
      <c r="AA216" t="s">
        <v>74</v>
      </c>
      <c r="AB216" t="s">
        <v>74</v>
      </c>
      <c r="AC216" t="s">
        <v>74</v>
      </c>
      <c r="AD216" t="s">
        <v>74</v>
      </c>
      <c r="AE216" t="s">
        <v>74</v>
      </c>
      <c r="AF216" t="s">
        <v>74</v>
      </c>
      <c r="AG216">
        <v>28</v>
      </c>
      <c r="AH216">
        <v>18</v>
      </c>
      <c r="AI216">
        <v>20</v>
      </c>
      <c r="AJ216">
        <v>1</v>
      </c>
      <c r="AK216">
        <v>15</v>
      </c>
      <c r="AL216" t="s">
        <v>2823</v>
      </c>
      <c r="AM216" t="s">
        <v>2824</v>
      </c>
      <c r="AN216" t="s">
        <v>2825</v>
      </c>
      <c r="AO216" t="s">
        <v>2826</v>
      </c>
      <c r="AP216" t="s">
        <v>2911</v>
      </c>
      <c r="AQ216" t="s">
        <v>74</v>
      </c>
      <c r="AR216" t="s">
        <v>2827</v>
      </c>
      <c r="AS216" t="s">
        <v>2828</v>
      </c>
      <c r="AT216" t="s">
        <v>74</v>
      </c>
      <c r="AU216">
        <v>2001</v>
      </c>
      <c r="AV216">
        <v>218</v>
      </c>
      <c r="AW216" t="s">
        <v>74</v>
      </c>
      <c r="AX216" t="s">
        <v>74</v>
      </c>
      <c r="AY216" t="s">
        <v>74</v>
      </c>
      <c r="AZ216" t="s">
        <v>74</v>
      </c>
      <c r="BA216" t="s">
        <v>74</v>
      </c>
      <c r="BB216">
        <v>107</v>
      </c>
      <c r="BC216">
        <v>114</v>
      </c>
      <c r="BD216" t="s">
        <v>74</v>
      </c>
      <c r="BE216" t="s">
        <v>2970</v>
      </c>
      <c r="BF216" t="str">
        <f>HYPERLINK("http://dx.doi.org/10.3354/meps218107","http://dx.doi.org/10.3354/meps218107")</f>
        <v>http://dx.doi.org/10.3354/meps218107</v>
      </c>
      <c r="BG216" t="s">
        <v>74</v>
      </c>
      <c r="BH216" t="s">
        <v>74</v>
      </c>
      <c r="BI216">
        <v>8</v>
      </c>
      <c r="BJ216" t="s">
        <v>2830</v>
      </c>
      <c r="BK216" t="s">
        <v>94</v>
      </c>
      <c r="BL216" t="s">
        <v>2831</v>
      </c>
      <c r="BM216" t="s">
        <v>2971</v>
      </c>
      <c r="BN216" t="s">
        <v>74</v>
      </c>
      <c r="BO216" t="s">
        <v>1755</v>
      </c>
      <c r="BP216" t="s">
        <v>74</v>
      </c>
      <c r="BQ216" t="s">
        <v>74</v>
      </c>
      <c r="BR216" t="s">
        <v>97</v>
      </c>
      <c r="BS216" t="s">
        <v>2972</v>
      </c>
      <c r="BT216" t="str">
        <f>HYPERLINK("https%3A%2F%2Fwww.webofscience.com%2Fwos%2Fwoscc%2Ffull-record%2FWOS:000171132300009","View Full Record in Web of Science")</f>
        <v>View Full Record in Web of Science</v>
      </c>
    </row>
    <row r="217" spans="1:72" x14ac:dyDescent="0.15">
      <c r="A217" t="s">
        <v>72</v>
      </c>
      <c r="B217" t="s">
        <v>2973</v>
      </c>
      <c r="C217" t="s">
        <v>74</v>
      </c>
      <c r="D217" t="s">
        <v>74</v>
      </c>
      <c r="E217" t="s">
        <v>74</v>
      </c>
      <c r="F217" t="s">
        <v>2973</v>
      </c>
      <c r="G217" t="s">
        <v>74</v>
      </c>
      <c r="H217" t="s">
        <v>74</v>
      </c>
      <c r="I217" t="s">
        <v>2974</v>
      </c>
      <c r="J217" t="s">
        <v>2813</v>
      </c>
      <c r="K217" t="s">
        <v>74</v>
      </c>
      <c r="L217" t="s">
        <v>74</v>
      </c>
      <c r="M217" t="s">
        <v>77</v>
      </c>
      <c r="N217" t="s">
        <v>78</v>
      </c>
      <c r="O217" t="s">
        <v>74</v>
      </c>
      <c r="P217" t="s">
        <v>74</v>
      </c>
      <c r="Q217" t="s">
        <v>74</v>
      </c>
      <c r="R217" t="s">
        <v>74</v>
      </c>
      <c r="S217" t="s">
        <v>74</v>
      </c>
      <c r="T217" t="s">
        <v>2975</v>
      </c>
      <c r="U217" t="s">
        <v>2976</v>
      </c>
      <c r="V217" t="s">
        <v>2977</v>
      </c>
      <c r="W217" t="s">
        <v>2978</v>
      </c>
      <c r="X217" t="s">
        <v>327</v>
      </c>
      <c r="Y217" t="s">
        <v>2979</v>
      </c>
      <c r="Z217" t="s">
        <v>2980</v>
      </c>
      <c r="AA217" t="s">
        <v>2981</v>
      </c>
      <c r="AB217" t="s">
        <v>2982</v>
      </c>
      <c r="AC217" t="s">
        <v>74</v>
      </c>
      <c r="AD217" t="s">
        <v>74</v>
      </c>
      <c r="AE217" t="s">
        <v>74</v>
      </c>
      <c r="AF217" t="s">
        <v>74</v>
      </c>
      <c r="AG217">
        <v>44</v>
      </c>
      <c r="AH217">
        <v>33</v>
      </c>
      <c r="AI217">
        <v>37</v>
      </c>
      <c r="AJ217">
        <v>0</v>
      </c>
      <c r="AK217">
        <v>8</v>
      </c>
      <c r="AL217" t="s">
        <v>2823</v>
      </c>
      <c r="AM217" t="s">
        <v>2824</v>
      </c>
      <c r="AN217" t="s">
        <v>2825</v>
      </c>
      <c r="AO217" t="s">
        <v>2826</v>
      </c>
      <c r="AP217" t="s">
        <v>2911</v>
      </c>
      <c r="AQ217" t="s">
        <v>74</v>
      </c>
      <c r="AR217" t="s">
        <v>2827</v>
      </c>
      <c r="AS217" t="s">
        <v>2828</v>
      </c>
      <c r="AT217" t="s">
        <v>74</v>
      </c>
      <c r="AU217">
        <v>2001</v>
      </c>
      <c r="AV217">
        <v>218</v>
      </c>
      <c r="AW217" t="s">
        <v>74</v>
      </c>
      <c r="AX217" t="s">
        <v>74</v>
      </c>
      <c r="AY217" t="s">
        <v>74</v>
      </c>
      <c r="AZ217" t="s">
        <v>74</v>
      </c>
      <c r="BA217" t="s">
        <v>74</v>
      </c>
      <c r="BB217">
        <v>167</v>
      </c>
      <c r="BC217">
        <v>177</v>
      </c>
      <c r="BD217" t="s">
        <v>74</v>
      </c>
      <c r="BE217" t="s">
        <v>2983</v>
      </c>
      <c r="BF217" t="str">
        <f>HYPERLINK("http://dx.doi.org/10.3354/meps218167","http://dx.doi.org/10.3354/meps218167")</f>
        <v>http://dx.doi.org/10.3354/meps218167</v>
      </c>
      <c r="BG217" t="s">
        <v>74</v>
      </c>
      <c r="BH217" t="s">
        <v>74</v>
      </c>
      <c r="BI217">
        <v>11</v>
      </c>
      <c r="BJ217" t="s">
        <v>2830</v>
      </c>
      <c r="BK217" t="s">
        <v>94</v>
      </c>
      <c r="BL217" t="s">
        <v>2831</v>
      </c>
      <c r="BM217" t="s">
        <v>2971</v>
      </c>
      <c r="BN217" t="s">
        <v>74</v>
      </c>
      <c r="BO217" t="s">
        <v>2428</v>
      </c>
      <c r="BP217" t="s">
        <v>74</v>
      </c>
      <c r="BQ217" t="s">
        <v>74</v>
      </c>
      <c r="BR217" t="s">
        <v>97</v>
      </c>
      <c r="BS217" t="s">
        <v>2984</v>
      </c>
      <c r="BT217" t="str">
        <f>HYPERLINK("https%3A%2F%2Fwww.webofscience.com%2Fwos%2Fwoscc%2Ffull-record%2FWOS:000171132300014","View Full Record in Web of Science")</f>
        <v>View Full Record in Web of Science</v>
      </c>
    </row>
    <row r="218" spans="1:72" x14ac:dyDescent="0.15">
      <c r="A218" t="s">
        <v>72</v>
      </c>
      <c r="B218" t="s">
        <v>2985</v>
      </c>
      <c r="C218" t="s">
        <v>74</v>
      </c>
      <c r="D218" t="s">
        <v>74</v>
      </c>
      <c r="E218" t="s">
        <v>74</v>
      </c>
      <c r="F218" t="s">
        <v>2985</v>
      </c>
      <c r="G218" t="s">
        <v>74</v>
      </c>
      <c r="H218" t="s">
        <v>74</v>
      </c>
      <c r="I218" t="s">
        <v>2986</v>
      </c>
      <c r="J218" t="s">
        <v>2813</v>
      </c>
      <c r="K218" t="s">
        <v>74</v>
      </c>
      <c r="L218" t="s">
        <v>74</v>
      </c>
      <c r="M218" t="s">
        <v>77</v>
      </c>
      <c r="N218" t="s">
        <v>78</v>
      </c>
      <c r="O218" t="s">
        <v>74</v>
      </c>
      <c r="P218" t="s">
        <v>74</v>
      </c>
      <c r="Q218" t="s">
        <v>74</v>
      </c>
      <c r="R218" t="s">
        <v>74</v>
      </c>
      <c r="S218" t="s">
        <v>74</v>
      </c>
      <c r="T218" t="s">
        <v>2987</v>
      </c>
      <c r="U218" t="s">
        <v>2988</v>
      </c>
      <c r="V218" t="s">
        <v>2989</v>
      </c>
      <c r="W218" t="s">
        <v>2990</v>
      </c>
      <c r="X218" t="s">
        <v>2991</v>
      </c>
      <c r="Y218" t="s">
        <v>2992</v>
      </c>
      <c r="Z218" t="s">
        <v>2993</v>
      </c>
      <c r="AA218" t="s">
        <v>2994</v>
      </c>
      <c r="AB218" t="s">
        <v>2995</v>
      </c>
      <c r="AC218" t="s">
        <v>74</v>
      </c>
      <c r="AD218" t="s">
        <v>74</v>
      </c>
      <c r="AE218" t="s">
        <v>74</v>
      </c>
      <c r="AF218" t="s">
        <v>74</v>
      </c>
      <c r="AG218">
        <v>94</v>
      </c>
      <c r="AH218">
        <v>46</v>
      </c>
      <c r="AI218">
        <v>51</v>
      </c>
      <c r="AJ218">
        <v>0</v>
      </c>
      <c r="AK218">
        <v>17</v>
      </c>
      <c r="AL218" t="s">
        <v>2823</v>
      </c>
      <c r="AM218" t="s">
        <v>2824</v>
      </c>
      <c r="AN218" t="s">
        <v>2825</v>
      </c>
      <c r="AO218" t="s">
        <v>2826</v>
      </c>
      <c r="AP218" t="s">
        <v>74</v>
      </c>
      <c r="AQ218" t="s">
        <v>74</v>
      </c>
      <c r="AR218" t="s">
        <v>2827</v>
      </c>
      <c r="AS218" t="s">
        <v>2828</v>
      </c>
      <c r="AT218" t="s">
        <v>74</v>
      </c>
      <c r="AU218">
        <v>2001</v>
      </c>
      <c r="AV218">
        <v>218</v>
      </c>
      <c r="AW218" t="s">
        <v>74</v>
      </c>
      <c r="AX218" t="s">
        <v>74</v>
      </c>
      <c r="AY218" t="s">
        <v>74</v>
      </c>
      <c r="AZ218" t="s">
        <v>74</v>
      </c>
      <c r="BA218" t="s">
        <v>74</v>
      </c>
      <c r="BB218">
        <v>283</v>
      </c>
      <c r="BC218">
        <v>302</v>
      </c>
      <c r="BD218" t="s">
        <v>74</v>
      </c>
      <c r="BE218" t="s">
        <v>2996</v>
      </c>
      <c r="BF218" t="str">
        <f>HYPERLINK("http://dx.doi.org/10.3354/meps218283","http://dx.doi.org/10.3354/meps218283")</f>
        <v>http://dx.doi.org/10.3354/meps218283</v>
      </c>
      <c r="BG218" t="s">
        <v>74</v>
      </c>
      <c r="BH218" t="s">
        <v>74</v>
      </c>
      <c r="BI218">
        <v>20</v>
      </c>
      <c r="BJ218" t="s">
        <v>2830</v>
      </c>
      <c r="BK218" t="s">
        <v>94</v>
      </c>
      <c r="BL218" t="s">
        <v>2831</v>
      </c>
      <c r="BM218" t="s">
        <v>2971</v>
      </c>
      <c r="BN218" t="s">
        <v>74</v>
      </c>
      <c r="BO218" t="s">
        <v>1755</v>
      </c>
      <c r="BP218" t="s">
        <v>74</v>
      </c>
      <c r="BQ218" t="s">
        <v>74</v>
      </c>
      <c r="BR218" t="s">
        <v>97</v>
      </c>
      <c r="BS218" t="s">
        <v>2997</v>
      </c>
      <c r="BT218" t="str">
        <f>HYPERLINK("https%3A%2F%2Fwww.webofscience.com%2Fwos%2Fwoscc%2Ffull-record%2FWOS:000171132300024","View Full Record in Web of Science")</f>
        <v>View Full Record in Web of Science</v>
      </c>
    </row>
    <row r="219" spans="1:72" x14ac:dyDescent="0.15">
      <c r="A219" t="s">
        <v>72</v>
      </c>
      <c r="B219" t="s">
        <v>2998</v>
      </c>
      <c r="C219" t="s">
        <v>74</v>
      </c>
      <c r="D219" t="s">
        <v>74</v>
      </c>
      <c r="E219" t="s">
        <v>74</v>
      </c>
      <c r="F219" t="s">
        <v>2998</v>
      </c>
      <c r="G219" t="s">
        <v>74</v>
      </c>
      <c r="H219" t="s">
        <v>74</v>
      </c>
      <c r="I219" t="s">
        <v>2999</v>
      </c>
      <c r="J219" t="s">
        <v>2813</v>
      </c>
      <c r="K219" t="s">
        <v>74</v>
      </c>
      <c r="L219" t="s">
        <v>74</v>
      </c>
      <c r="M219" t="s">
        <v>77</v>
      </c>
      <c r="N219" t="s">
        <v>78</v>
      </c>
      <c r="O219" t="s">
        <v>74</v>
      </c>
      <c r="P219" t="s">
        <v>74</v>
      </c>
      <c r="Q219" t="s">
        <v>74</v>
      </c>
      <c r="R219" t="s">
        <v>74</v>
      </c>
      <c r="S219" t="s">
        <v>74</v>
      </c>
      <c r="T219" t="s">
        <v>3000</v>
      </c>
      <c r="U219" t="s">
        <v>3001</v>
      </c>
      <c r="V219" t="s">
        <v>3002</v>
      </c>
      <c r="W219" t="s">
        <v>3003</v>
      </c>
      <c r="X219" t="s">
        <v>3004</v>
      </c>
      <c r="Y219" t="s">
        <v>3005</v>
      </c>
      <c r="Z219" t="s">
        <v>3006</v>
      </c>
      <c r="AA219" t="s">
        <v>74</v>
      </c>
      <c r="AB219" t="s">
        <v>74</v>
      </c>
      <c r="AC219" t="s">
        <v>74</v>
      </c>
      <c r="AD219" t="s">
        <v>74</v>
      </c>
      <c r="AE219" t="s">
        <v>74</v>
      </c>
      <c r="AF219" t="s">
        <v>74</v>
      </c>
      <c r="AG219">
        <v>34</v>
      </c>
      <c r="AH219">
        <v>15</v>
      </c>
      <c r="AI219">
        <v>17</v>
      </c>
      <c r="AJ219">
        <v>1</v>
      </c>
      <c r="AK219">
        <v>14</v>
      </c>
      <c r="AL219" t="s">
        <v>2823</v>
      </c>
      <c r="AM219" t="s">
        <v>2824</v>
      </c>
      <c r="AN219" t="s">
        <v>2825</v>
      </c>
      <c r="AO219" t="s">
        <v>2826</v>
      </c>
      <c r="AP219" t="s">
        <v>74</v>
      </c>
      <c r="AQ219" t="s">
        <v>74</v>
      </c>
      <c r="AR219" t="s">
        <v>2827</v>
      </c>
      <c r="AS219" t="s">
        <v>2828</v>
      </c>
      <c r="AT219" t="s">
        <v>74</v>
      </c>
      <c r="AU219">
        <v>2001</v>
      </c>
      <c r="AV219">
        <v>218</v>
      </c>
      <c r="AW219" t="s">
        <v>74</v>
      </c>
      <c r="AX219" t="s">
        <v>74</v>
      </c>
      <c r="AY219" t="s">
        <v>74</v>
      </c>
      <c r="AZ219" t="s">
        <v>74</v>
      </c>
      <c r="BA219" t="s">
        <v>74</v>
      </c>
      <c r="BB219">
        <v>303</v>
      </c>
      <c r="BC219">
        <v>309</v>
      </c>
      <c r="BD219" t="s">
        <v>74</v>
      </c>
      <c r="BE219" t="s">
        <v>3007</v>
      </c>
      <c r="BF219" t="str">
        <f>HYPERLINK("http://dx.doi.org/10.3354/meps218303","http://dx.doi.org/10.3354/meps218303")</f>
        <v>http://dx.doi.org/10.3354/meps218303</v>
      </c>
      <c r="BG219" t="s">
        <v>74</v>
      </c>
      <c r="BH219" t="s">
        <v>74</v>
      </c>
      <c r="BI219">
        <v>7</v>
      </c>
      <c r="BJ219" t="s">
        <v>2830</v>
      </c>
      <c r="BK219" t="s">
        <v>94</v>
      </c>
      <c r="BL219" t="s">
        <v>2831</v>
      </c>
      <c r="BM219" t="s">
        <v>2971</v>
      </c>
      <c r="BN219" t="s">
        <v>74</v>
      </c>
      <c r="BO219" t="s">
        <v>1755</v>
      </c>
      <c r="BP219" t="s">
        <v>74</v>
      </c>
      <c r="BQ219" t="s">
        <v>74</v>
      </c>
      <c r="BR219" t="s">
        <v>97</v>
      </c>
      <c r="BS219" t="s">
        <v>3008</v>
      </c>
      <c r="BT219" t="str">
        <f>HYPERLINK("https%3A%2F%2Fwww.webofscience.com%2Fwos%2Fwoscc%2Ffull-record%2FWOS:000171132300025","View Full Record in Web of Science")</f>
        <v>View Full Record in Web of Science</v>
      </c>
    </row>
    <row r="220" spans="1:72" x14ac:dyDescent="0.15">
      <c r="A220" t="s">
        <v>72</v>
      </c>
      <c r="B220" t="s">
        <v>3009</v>
      </c>
      <c r="C220" t="s">
        <v>74</v>
      </c>
      <c r="D220" t="s">
        <v>74</v>
      </c>
      <c r="E220" t="s">
        <v>74</v>
      </c>
      <c r="F220" t="s">
        <v>3009</v>
      </c>
      <c r="G220" t="s">
        <v>74</v>
      </c>
      <c r="H220" t="s">
        <v>74</v>
      </c>
      <c r="I220" t="s">
        <v>3010</v>
      </c>
      <c r="J220" t="s">
        <v>2813</v>
      </c>
      <c r="K220" t="s">
        <v>74</v>
      </c>
      <c r="L220" t="s">
        <v>74</v>
      </c>
      <c r="M220" t="s">
        <v>77</v>
      </c>
      <c r="N220" t="s">
        <v>78</v>
      </c>
      <c r="O220" t="s">
        <v>74</v>
      </c>
      <c r="P220" t="s">
        <v>74</v>
      </c>
      <c r="Q220" t="s">
        <v>74</v>
      </c>
      <c r="R220" t="s">
        <v>74</v>
      </c>
      <c r="S220" t="s">
        <v>74</v>
      </c>
      <c r="T220" t="s">
        <v>3011</v>
      </c>
      <c r="U220" t="s">
        <v>3012</v>
      </c>
      <c r="V220" t="s">
        <v>3013</v>
      </c>
      <c r="W220" t="s">
        <v>3014</v>
      </c>
      <c r="X220" t="s">
        <v>3015</v>
      </c>
      <c r="Y220" t="s">
        <v>3016</v>
      </c>
      <c r="Z220" t="s">
        <v>3017</v>
      </c>
      <c r="AA220" t="s">
        <v>3018</v>
      </c>
      <c r="AB220" t="s">
        <v>3019</v>
      </c>
      <c r="AC220" t="s">
        <v>74</v>
      </c>
      <c r="AD220" t="s">
        <v>74</v>
      </c>
      <c r="AE220" t="s">
        <v>74</v>
      </c>
      <c r="AF220" t="s">
        <v>74</v>
      </c>
      <c r="AG220">
        <v>77</v>
      </c>
      <c r="AH220">
        <v>170</v>
      </c>
      <c r="AI220">
        <v>186</v>
      </c>
      <c r="AJ220">
        <v>2</v>
      </c>
      <c r="AK220">
        <v>27</v>
      </c>
      <c r="AL220" t="s">
        <v>2823</v>
      </c>
      <c r="AM220" t="s">
        <v>2824</v>
      </c>
      <c r="AN220" t="s">
        <v>2825</v>
      </c>
      <c r="AO220" t="s">
        <v>2826</v>
      </c>
      <c r="AP220" t="s">
        <v>2911</v>
      </c>
      <c r="AQ220" t="s">
        <v>74</v>
      </c>
      <c r="AR220" t="s">
        <v>2827</v>
      </c>
      <c r="AS220" t="s">
        <v>2828</v>
      </c>
      <c r="AT220" t="s">
        <v>74</v>
      </c>
      <c r="AU220">
        <v>2001</v>
      </c>
      <c r="AV220">
        <v>217</v>
      </c>
      <c r="AW220" t="s">
        <v>74</v>
      </c>
      <c r="AX220" t="s">
        <v>74</v>
      </c>
      <c r="AY220" t="s">
        <v>74</v>
      </c>
      <c r="AZ220" t="s">
        <v>74</v>
      </c>
      <c r="BA220" t="s">
        <v>74</v>
      </c>
      <c r="BB220">
        <v>15</v>
      </c>
      <c r="BC220">
        <v>26</v>
      </c>
      <c r="BD220" t="s">
        <v>74</v>
      </c>
      <c r="BE220" t="s">
        <v>3020</v>
      </c>
      <c r="BF220" t="str">
        <f>HYPERLINK("http://dx.doi.org/10.3354/meps217015","http://dx.doi.org/10.3354/meps217015")</f>
        <v>http://dx.doi.org/10.3354/meps217015</v>
      </c>
      <c r="BG220" t="s">
        <v>74</v>
      </c>
      <c r="BH220" t="s">
        <v>74</v>
      </c>
      <c r="BI220">
        <v>12</v>
      </c>
      <c r="BJ220" t="s">
        <v>2830</v>
      </c>
      <c r="BK220" t="s">
        <v>94</v>
      </c>
      <c r="BL220" t="s">
        <v>2831</v>
      </c>
      <c r="BM220" t="s">
        <v>3021</v>
      </c>
      <c r="BN220" t="s">
        <v>74</v>
      </c>
      <c r="BO220" t="s">
        <v>2428</v>
      </c>
      <c r="BP220" t="s">
        <v>74</v>
      </c>
      <c r="BQ220" t="s">
        <v>74</v>
      </c>
      <c r="BR220" t="s">
        <v>97</v>
      </c>
      <c r="BS220" t="s">
        <v>3022</v>
      </c>
      <c r="BT220" t="str">
        <f>HYPERLINK("https%3A%2F%2Fwww.webofscience.com%2Fwos%2Fwoscc%2Ffull-record%2FWOS:000170790300002","View Full Record in Web of Science")</f>
        <v>View Full Record in Web of Science</v>
      </c>
    </row>
    <row r="221" spans="1:72" x14ac:dyDescent="0.15">
      <c r="A221" t="s">
        <v>72</v>
      </c>
      <c r="B221" t="s">
        <v>3023</v>
      </c>
      <c r="C221" t="s">
        <v>74</v>
      </c>
      <c r="D221" t="s">
        <v>74</v>
      </c>
      <c r="E221" t="s">
        <v>74</v>
      </c>
      <c r="F221" t="s">
        <v>3023</v>
      </c>
      <c r="G221" t="s">
        <v>74</v>
      </c>
      <c r="H221" t="s">
        <v>74</v>
      </c>
      <c r="I221" t="s">
        <v>3024</v>
      </c>
      <c r="J221" t="s">
        <v>2813</v>
      </c>
      <c r="K221" t="s">
        <v>74</v>
      </c>
      <c r="L221" t="s">
        <v>74</v>
      </c>
      <c r="M221" t="s">
        <v>77</v>
      </c>
      <c r="N221" t="s">
        <v>78</v>
      </c>
      <c r="O221" t="s">
        <v>74</v>
      </c>
      <c r="P221" t="s">
        <v>74</v>
      </c>
      <c r="Q221" t="s">
        <v>74</v>
      </c>
      <c r="R221" t="s">
        <v>74</v>
      </c>
      <c r="S221" t="s">
        <v>74</v>
      </c>
      <c r="T221" t="s">
        <v>3025</v>
      </c>
      <c r="U221" t="s">
        <v>3026</v>
      </c>
      <c r="V221" t="s">
        <v>3027</v>
      </c>
      <c r="W221" t="s">
        <v>3028</v>
      </c>
      <c r="X221" t="s">
        <v>3029</v>
      </c>
      <c r="Y221" t="s">
        <v>3030</v>
      </c>
      <c r="Z221" t="s">
        <v>3031</v>
      </c>
      <c r="AA221" t="s">
        <v>3032</v>
      </c>
      <c r="AB221" t="s">
        <v>3033</v>
      </c>
      <c r="AC221" t="s">
        <v>74</v>
      </c>
      <c r="AD221" t="s">
        <v>74</v>
      </c>
      <c r="AE221" t="s">
        <v>74</v>
      </c>
      <c r="AF221" t="s">
        <v>74</v>
      </c>
      <c r="AG221">
        <v>35</v>
      </c>
      <c r="AH221">
        <v>36</v>
      </c>
      <c r="AI221">
        <v>38</v>
      </c>
      <c r="AJ221">
        <v>0</v>
      </c>
      <c r="AK221">
        <v>12</v>
      </c>
      <c r="AL221" t="s">
        <v>2823</v>
      </c>
      <c r="AM221" t="s">
        <v>2824</v>
      </c>
      <c r="AN221" t="s">
        <v>2825</v>
      </c>
      <c r="AO221" t="s">
        <v>2826</v>
      </c>
      <c r="AP221" t="s">
        <v>74</v>
      </c>
      <c r="AQ221" t="s">
        <v>74</v>
      </c>
      <c r="AR221" t="s">
        <v>2827</v>
      </c>
      <c r="AS221" t="s">
        <v>2828</v>
      </c>
      <c r="AT221" t="s">
        <v>74</v>
      </c>
      <c r="AU221">
        <v>2001</v>
      </c>
      <c r="AV221">
        <v>217</v>
      </c>
      <c r="AW221" t="s">
        <v>74</v>
      </c>
      <c r="AX221" t="s">
        <v>74</v>
      </c>
      <c r="AY221" t="s">
        <v>74</v>
      </c>
      <c r="AZ221" t="s">
        <v>74</v>
      </c>
      <c r="BA221" t="s">
        <v>74</v>
      </c>
      <c r="BB221">
        <v>167</v>
      </c>
      <c r="BC221">
        <v>174</v>
      </c>
      <c r="BD221" t="s">
        <v>74</v>
      </c>
      <c r="BE221" t="s">
        <v>3034</v>
      </c>
      <c r="BF221" t="str">
        <f>HYPERLINK("http://dx.doi.org/10.3354/meps217167","http://dx.doi.org/10.3354/meps217167")</f>
        <v>http://dx.doi.org/10.3354/meps217167</v>
      </c>
      <c r="BG221" t="s">
        <v>74</v>
      </c>
      <c r="BH221" t="s">
        <v>74</v>
      </c>
      <c r="BI221">
        <v>8</v>
      </c>
      <c r="BJ221" t="s">
        <v>2830</v>
      </c>
      <c r="BK221" t="s">
        <v>94</v>
      </c>
      <c r="BL221" t="s">
        <v>2831</v>
      </c>
      <c r="BM221" t="s">
        <v>3021</v>
      </c>
      <c r="BN221" t="s">
        <v>74</v>
      </c>
      <c r="BO221" t="s">
        <v>1755</v>
      </c>
      <c r="BP221" t="s">
        <v>74</v>
      </c>
      <c r="BQ221" t="s">
        <v>74</v>
      </c>
      <c r="BR221" t="s">
        <v>97</v>
      </c>
      <c r="BS221" t="s">
        <v>3035</v>
      </c>
      <c r="BT221" t="str">
        <f>HYPERLINK("https%3A%2F%2Fwww.webofscience.com%2Fwos%2Fwoscc%2Ffull-record%2FWOS:000170790300015","View Full Record in Web of Science")</f>
        <v>View Full Record in Web of Science</v>
      </c>
    </row>
    <row r="222" spans="1:72" x14ac:dyDescent="0.15">
      <c r="A222" t="s">
        <v>72</v>
      </c>
      <c r="B222" t="s">
        <v>3036</v>
      </c>
      <c r="C222" t="s">
        <v>74</v>
      </c>
      <c r="D222" t="s">
        <v>74</v>
      </c>
      <c r="E222" t="s">
        <v>74</v>
      </c>
      <c r="F222" t="s">
        <v>3036</v>
      </c>
      <c r="G222" t="s">
        <v>74</v>
      </c>
      <c r="H222" t="s">
        <v>74</v>
      </c>
      <c r="I222" t="s">
        <v>3037</v>
      </c>
      <c r="J222" t="s">
        <v>2813</v>
      </c>
      <c r="K222" t="s">
        <v>74</v>
      </c>
      <c r="L222" t="s">
        <v>74</v>
      </c>
      <c r="M222" t="s">
        <v>77</v>
      </c>
      <c r="N222" t="s">
        <v>78</v>
      </c>
      <c r="O222" t="s">
        <v>74</v>
      </c>
      <c r="P222" t="s">
        <v>74</v>
      </c>
      <c r="Q222" t="s">
        <v>74</v>
      </c>
      <c r="R222" t="s">
        <v>74</v>
      </c>
      <c r="S222" t="s">
        <v>74</v>
      </c>
      <c r="T222" t="s">
        <v>3038</v>
      </c>
      <c r="U222" t="s">
        <v>3039</v>
      </c>
      <c r="V222" t="s">
        <v>3040</v>
      </c>
      <c r="W222" t="s">
        <v>3041</v>
      </c>
      <c r="X222" t="s">
        <v>221</v>
      </c>
      <c r="Y222" t="s">
        <v>3042</v>
      </c>
      <c r="Z222" t="s">
        <v>3043</v>
      </c>
      <c r="AA222" t="s">
        <v>3044</v>
      </c>
      <c r="AB222" t="s">
        <v>74</v>
      </c>
      <c r="AC222" t="s">
        <v>74</v>
      </c>
      <c r="AD222" t="s">
        <v>74</v>
      </c>
      <c r="AE222" t="s">
        <v>74</v>
      </c>
      <c r="AF222" t="s">
        <v>74</v>
      </c>
      <c r="AG222">
        <v>38</v>
      </c>
      <c r="AH222">
        <v>40</v>
      </c>
      <c r="AI222">
        <v>45</v>
      </c>
      <c r="AJ222">
        <v>0</v>
      </c>
      <c r="AK222">
        <v>20</v>
      </c>
      <c r="AL222" t="s">
        <v>2823</v>
      </c>
      <c r="AM222" t="s">
        <v>2824</v>
      </c>
      <c r="AN222" t="s">
        <v>2825</v>
      </c>
      <c r="AO222" t="s">
        <v>2826</v>
      </c>
      <c r="AP222" t="s">
        <v>74</v>
      </c>
      <c r="AQ222" t="s">
        <v>74</v>
      </c>
      <c r="AR222" t="s">
        <v>2827</v>
      </c>
      <c r="AS222" t="s">
        <v>2828</v>
      </c>
      <c r="AT222" t="s">
        <v>74</v>
      </c>
      <c r="AU222">
        <v>2001</v>
      </c>
      <c r="AV222">
        <v>217</v>
      </c>
      <c r="AW222" t="s">
        <v>74</v>
      </c>
      <c r="AX222" t="s">
        <v>74</v>
      </c>
      <c r="AY222" t="s">
        <v>74</v>
      </c>
      <c r="AZ222" t="s">
        <v>74</v>
      </c>
      <c r="BA222" t="s">
        <v>74</v>
      </c>
      <c r="BB222">
        <v>175</v>
      </c>
      <c r="BC222">
        <v>189</v>
      </c>
      <c r="BD222" t="s">
        <v>74</v>
      </c>
      <c r="BE222" t="s">
        <v>3045</v>
      </c>
      <c r="BF222" t="str">
        <f>HYPERLINK("http://dx.doi.org/10.3354/meps217175","http://dx.doi.org/10.3354/meps217175")</f>
        <v>http://dx.doi.org/10.3354/meps217175</v>
      </c>
      <c r="BG222" t="s">
        <v>74</v>
      </c>
      <c r="BH222" t="s">
        <v>74</v>
      </c>
      <c r="BI222">
        <v>15</v>
      </c>
      <c r="BJ222" t="s">
        <v>2830</v>
      </c>
      <c r="BK222" t="s">
        <v>94</v>
      </c>
      <c r="BL222" t="s">
        <v>2831</v>
      </c>
      <c r="BM222" t="s">
        <v>3021</v>
      </c>
      <c r="BN222" t="s">
        <v>74</v>
      </c>
      <c r="BO222" t="s">
        <v>2428</v>
      </c>
      <c r="BP222" t="s">
        <v>74</v>
      </c>
      <c r="BQ222" t="s">
        <v>74</v>
      </c>
      <c r="BR222" t="s">
        <v>97</v>
      </c>
      <c r="BS222" t="s">
        <v>3046</v>
      </c>
      <c r="BT222" t="str">
        <f>HYPERLINK("https%3A%2F%2Fwww.webofscience.com%2Fwos%2Fwoscc%2Ffull-record%2FWOS:000170790300016","View Full Record in Web of Science")</f>
        <v>View Full Record in Web of Science</v>
      </c>
    </row>
    <row r="223" spans="1:72" x14ac:dyDescent="0.15">
      <c r="A223" t="s">
        <v>72</v>
      </c>
      <c r="B223" t="s">
        <v>3047</v>
      </c>
      <c r="C223" t="s">
        <v>74</v>
      </c>
      <c r="D223" t="s">
        <v>74</v>
      </c>
      <c r="E223" t="s">
        <v>74</v>
      </c>
      <c r="F223" t="s">
        <v>3047</v>
      </c>
      <c r="G223" t="s">
        <v>74</v>
      </c>
      <c r="H223" t="s">
        <v>74</v>
      </c>
      <c r="I223" t="s">
        <v>3048</v>
      </c>
      <c r="J223" t="s">
        <v>2813</v>
      </c>
      <c r="K223" t="s">
        <v>74</v>
      </c>
      <c r="L223" t="s">
        <v>74</v>
      </c>
      <c r="M223" t="s">
        <v>77</v>
      </c>
      <c r="N223" t="s">
        <v>78</v>
      </c>
      <c r="O223" t="s">
        <v>74</v>
      </c>
      <c r="P223" t="s">
        <v>74</v>
      </c>
      <c r="Q223" t="s">
        <v>74</v>
      </c>
      <c r="R223" t="s">
        <v>74</v>
      </c>
      <c r="S223" t="s">
        <v>74</v>
      </c>
      <c r="T223" t="s">
        <v>3049</v>
      </c>
      <c r="U223" t="s">
        <v>3050</v>
      </c>
      <c r="V223" t="s">
        <v>3051</v>
      </c>
      <c r="W223" t="s">
        <v>3052</v>
      </c>
      <c r="X223" t="s">
        <v>3053</v>
      </c>
      <c r="Y223" t="s">
        <v>3054</v>
      </c>
      <c r="Z223" t="s">
        <v>3055</v>
      </c>
      <c r="AA223" t="s">
        <v>74</v>
      </c>
      <c r="AB223" t="s">
        <v>3056</v>
      </c>
      <c r="AC223" t="s">
        <v>74</v>
      </c>
      <c r="AD223" t="s">
        <v>74</v>
      </c>
      <c r="AE223" t="s">
        <v>74</v>
      </c>
      <c r="AF223" t="s">
        <v>74</v>
      </c>
      <c r="AG223">
        <v>33</v>
      </c>
      <c r="AH223">
        <v>81</v>
      </c>
      <c r="AI223">
        <v>84</v>
      </c>
      <c r="AJ223">
        <v>2</v>
      </c>
      <c r="AK223">
        <v>22</v>
      </c>
      <c r="AL223" t="s">
        <v>2823</v>
      </c>
      <c r="AM223" t="s">
        <v>2824</v>
      </c>
      <c r="AN223" t="s">
        <v>2825</v>
      </c>
      <c r="AO223" t="s">
        <v>2826</v>
      </c>
      <c r="AP223" t="s">
        <v>2911</v>
      </c>
      <c r="AQ223" t="s">
        <v>74</v>
      </c>
      <c r="AR223" t="s">
        <v>2827</v>
      </c>
      <c r="AS223" t="s">
        <v>2828</v>
      </c>
      <c r="AT223" t="s">
        <v>74</v>
      </c>
      <c r="AU223">
        <v>2001</v>
      </c>
      <c r="AV223">
        <v>217</v>
      </c>
      <c r="AW223" t="s">
        <v>74</v>
      </c>
      <c r="AX223" t="s">
        <v>74</v>
      </c>
      <c r="AY223" t="s">
        <v>74</v>
      </c>
      <c r="AZ223" t="s">
        <v>74</v>
      </c>
      <c r="BA223" t="s">
        <v>74</v>
      </c>
      <c r="BB223">
        <v>287</v>
      </c>
      <c r="BC223">
        <v>297</v>
      </c>
      <c r="BD223" t="s">
        <v>74</v>
      </c>
      <c r="BE223" t="s">
        <v>3057</v>
      </c>
      <c r="BF223" t="str">
        <f>HYPERLINK("http://dx.doi.org/10.3354/meps217287","http://dx.doi.org/10.3354/meps217287")</f>
        <v>http://dx.doi.org/10.3354/meps217287</v>
      </c>
      <c r="BG223" t="s">
        <v>74</v>
      </c>
      <c r="BH223" t="s">
        <v>74</v>
      </c>
      <c r="BI223">
        <v>11</v>
      </c>
      <c r="BJ223" t="s">
        <v>2830</v>
      </c>
      <c r="BK223" t="s">
        <v>94</v>
      </c>
      <c r="BL223" t="s">
        <v>2831</v>
      </c>
      <c r="BM223" t="s">
        <v>3021</v>
      </c>
      <c r="BN223" t="s">
        <v>74</v>
      </c>
      <c r="BO223" t="s">
        <v>1068</v>
      </c>
      <c r="BP223" t="s">
        <v>74</v>
      </c>
      <c r="BQ223" t="s">
        <v>74</v>
      </c>
      <c r="BR223" t="s">
        <v>97</v>
      </c>
      <c r="BS223" t="s">
        <v>3058</v>
      </c>
      <c r="BT223" t="str">
        <f>HYPERLINK("https%3A%2F%2Fwww.webofscience.com%2Fwos%2Fwoscc%2Ffull-record%2FWOS:000170790300024","View Full Record in Web of Science")</f>
        <v>View Full Record in Web of Science</v>
      </c>
    </row>
    <row r="224" spans="1:72" x14ac:dyDescent="0.15">
      <c r="A224" t="s">
        <v>72</v>
      </c>
      <c r="B224" t="s">
        <v>3059</v>
      </c>
      <c r="C224" t="s">
        <v>74</v>
      </c>
      <c r="D224" t="s">
        <v>74</v>
      </c>
      <c r="E224" t="s">
        <v>74</v>
      </c>
      <c r="F224" t="s">
        <v>3059</v>
      </c>
      <c r="G224" t="s">
        <v>74</v>
      </c>
      <c r="H224" t="s">
        <v>74</v>
      </c>
      <c r="I224" t="s">
        <v>3060</v>
      </c>
      <c r="J224" t="s">
        <v>2813</v>
      </c>
      <c r="K224" t="s">
        <v>74</v>
      </c>
      <c r="L224" t="s">
        <v>74</v>
      </c>
      <c r="M224" t="s">
        <v>77</v>
      </c>
      <c r="N224" t="s">
        <v>78</v>
      </c>
      <c r="O224" t="s">
        <v>74</v>
      </c>
      <c r="P224" t="s">
        <v>74</v>
      </c>
      <c r="Q224" t="s">
        <v>74</v>
      </c>
      <c r="R224" t="s">
        <v>74</v>
      </c>
      <c r="S224" t="s">
        <v>74</v>
      </c>
      <c r="T224" t="s">
        <v>3061</v>
      </c>
      <c r="U224" t="s">
        <v>3062</v>
      </c>
      <c r="V224" t="s">
        <v>3063</v>
      </c>
      <c r="W224" t="s">
        <v>3064</v>
      </c>
      <c r="X224" t="s">
        <v>3065</v>
      </c>
      <c r="Y224" t="s">
        <v>3066</v>
      </c>
      <c r="Z224" t="s">
        <v>3067</v>
      </c>
      <c r="AA224" t="s">
        <v>74</v>
      </c>
      <c r="AB224" t="s">
        <v>74</v>
      </c>
      <c r="AC224" t="s">
        <v>74</v>
      </c>
      <c r="AD224" t="s">
        <v>74</v>
      </c>
      <c r="AE224" t="s">
        <v>74</v>
      </c>
      <c r="AF224" t="s">
        <v>74</v>
      </c>
      <c r="AG224">
        <v>70</v>
      </c>
      <c r="AH224">
        <v>51</v>
      </c>
      <c r="AI224">
        <v>62</v>
      </c>
      <c r="AJ224">
        <v>1</v>
      </c>
      <c r="AK224">
        <v>18</v>
      </c>
      <c r="AL224" t="s">
        <v>2823</v>
      </c>
      <c r="AM224" t="s">
        <v>2824</v>
      </c>
      <c r="AN224" t="s">
        <v>2825</v>
      </c>
      <c r="AO224" t="s">
        <v>2826</v>
      </c>
      <c r="AP224" t="s">
        <v>74</v>
      </c>
      <c r="AQ224" t="s">
        <v>74</v>
      </c>
      <c r="AR224" t="s">
        <v>2827</v>
      </c>
      <c r="AS224" t="s">
        <v>2828</v>
      </c>
      <c r="AT224" t="s">
        <v>74</v>
      </c>
      <c r="AU224">
        <v>2001</v>
      </c>
      <c r="AV224">
        <v>216</v>
      </c>
      <c r="AW224" t="s">
        <v>74</v>
      </c>
      <c r="AX224" t="s">
        <v>74</v>
      </c>
      <c r="AY224" t="s">
        <v>74</v>
      </c>
      <c r="AZ224" t="s">
        <v>74</v>
      </c>
      <c r="BA224" t="s">
        <v>74</v>
      </c>
      <c r="BB224">
        <v>95</v>
      </c>
      <c r="BC224">
        <v>108</v>
      </c>
      <c r="BD224" t="s">
        <v>74</v>
      </c>
      <c r="BE224" t="s">
        <v>3068</v>
      </c>
      <c r="BF224" t="str">
        <f>HYPERLINK("http://dx.doi.org/10.3354/meps216095","http://dx.doi.org/10.3354/meps216095")</f>
        <v>http://dx.doi.org/10.3354/meps216095</v>
      </c>
      <c r="BG224" t="s">
        <v>74</v>
      </c>
      <c r="BH224" t="s">
        <v>74</v>
      </c>
      <c r="BI224">
        <v>14</v>
      </c>
      <c r="BJ224" t="s">
        <v>2830</v>
      </c>
      <c r="BK224" t="s">
        <v>94</v>
      </c>
      <c r="BL224" t="s">
        <v>2831</v>
      </c>
      <c r="BM224" t="s">
        <v>3069</v>
      </c>
      <c r="BN224" t="s">
        <v>74</v>
      </c>
      <c r="BO224" t="s">
        <v>1755</v>
      </c>
      <c r="BP224" t="s">
        <v>74</v>
      </c>
      <c r="BQ224" t="s">
        <v>74</v>
      </c>
      <c r="BR224" t="s">
        <v>97</v>
      </c>
      <c r="BS224" t="s">
        <v>3070</v>
      </c>
      <c r="BT224" t="str">
        <f>HYPERLINK("https%3A%2F%2Fwww.webofscience.com%2Fwos%2Fwoscc%2Ffull-record%2FWOS:000170395500008","View Full Record in Web of Science")</f>
        <v>View Full Record in Web of Science</v>
      </c>
    </row>
    <row r="225" spans="1:72" x14ac:dyDescent="0.15">
      <c r="A225" t="s">
        <v>72</v>
      </c>
      <c r="B225" t="s">
        <v>3071</v>
      </c>
      <c r="C225" t="s">
        <v>74</v>
      </c>
      <c r="D225" t="s">
        <v>74</v>
      </c>
      <c r="E225" t="s">
        <v>74</v>
      </c>
      <c r="F225" t="s">
        <v>3071</v>
      </c>
      <c r="G225" t="s">
        <v>74</v>
      </c>
      <c r="H225" t="s">
        <v>74</v>
      </c>
      <c r="I225" t="s">
        <v>3072</v>
      </c>
      <c r="J225" t="s">
        <v>2813</v>
      </c>
      <c r="K225" t="s">
        <v>74</v>
      </c>
      <c r="L225" t="s">
        <v>74</v>
      </c>
      <c r="M225" t="s">
        <v>77</v>
      </c>
      <c r="N225" t="s">
        <v>236</v>
      </c>
      <c r="O225" t="s">
        <v>74</v>
      </c>
      <c r="P225" t="s">
        <v>74</v>
      </c>
      <c r="Q225" t="s">
        <v>74</v>
      </c>
      <c r="R225" t="s">
        <v>74</v>
      </c>
      <c r="S225" t="s">
        <v>74</v>
      </c>
      <c r="T225" t="s">
        <v>3073</v>
      </c>
      <c r="U225" t="s">
        <v>3074</v>
      </c>
      <c r="V225" t="s">
        <v>3075</v>
      </c>
      <c r="W225" t="s">
        <v>885</v>
      </c>
      <c r="X225" t="s">
        <v>221</v>
      </c>
      <c r="Y225" t="s">
        <v>1280</v>
      </c>
      <c r="Z225" t="s">
        <v>3076</v>
      </c>
      <c r="AA225" t="s">
        <v>3077</v>
      </c>
      <c r="AB225" t="s">
        <v>3078</v>
      </c>
      <c r="AC225" t="s">
        <v>74</v>
      </c>
      <c r="AD225" t="s">
        <v>74</v>
      </c>
      <c r="AE225" t="s">
        <v>74</v>
      </c>
      <c r="AF225" t="s">
        <v>74</v>
      </c>
      <c r="AG225">
        <v>271</v>
      </c>
      <c r="AH225">
        <v>237</v>
      </c>
      <c r="AI225">
        <v>256</v>
      </c>
      <c r="AJ225">
        <v>0</v>
      </c>
      <c r="AK225">
        <v>65</v>
      </c>
      <c r="AL225" t="s">
        <v>2823</v>
      </c>
      <c r="AM225" t="s">
        <v>2824</v>
      </c>
      <c r="AN225" t="s">
        <v>2825</v>
      </c>
      <c r="AO225" t="s">
        <v>2826</v>
      </c>
      <c r="AP225" t="s">
        <v>2911</v>
      </c>
      <c r="AQ225" t="s">
        <v>74</v>
      </c>
      <c r="AR225" t="s">
        <v>2827</v>
      </c>
      <c r="AS225" t="s">
        <v>2828</v>
      </c>
      <c r="AT225" t="s">
        <v>74</v>
      </c>
      <c r="AU225">
        <v>2001</v>
      </c>
      <c r="AV225">
        <v>216</v>
      </c>
      <c r="AW225" t="s">
        <v>74</v>
      </c>
      <c r="AX225" t="s">
        <v>74</v>
      </c>
      <c r="AY225" t="s">
        <v>74</v>
      </c>
      <c r="AZ225" t="s">
        <v>74</v>
      </c>
      <c r="BA225" t="s">
        <v>74</v>
      </c>
      <c r="BB225">
        <v>279</v>
      </c>
      <c r="BC225">
        <v>308</v>
      </c>
      <c r="BD225" t="s">
        <v>74</v>
      </c>
      <c r="BE225" t="s">
        <v>3079</v>
      </c>
      <c r="BF225" t="str">
        <f>HYPERLINK("http://dx.doi.org/10.3354/meps216279","http://dx.doi.org/10.3354/meps216279")</f>
        <v>http://dx.doi.org/10.3354/meps216279</v>
      </c>
      <c r="BG225" t="s">
        <v>74</v>
      </c>
      <c r="BH225" t="s">
        <v>74</v>
      </c>
      <c r="BI225">
        <v>30</v>
      </c>
      <c r="BJ225" t="s">
        <v>2830</v>
      </c>
      <c r="BK225" t="s">
        <v>94</v>
      </c>
      <c r="BL225" t="s">
        <v>2831</v>
      </c>
      <c r="BM225" t="s">
        <v>3069</v>
      </c>
      <c r="BN225" t="s">
        <v>74</v>
      </c>
      <c r="BO225" t="s">
        <v>2451</v>
      </c>
      <c r="BP225" t="s">
        <v>74</v>
      </c>
      <c r="BQ225" t="s">
        <v>74</v>
      </c>
      <c r="BR225" t="s">
        <v>97</v>
      </c>
      <c r="BS225" t="s">
        <v>3080</v>
      </c>
      <c r="BT225" t="str">
        <f>HYPERLINK("https%3A%2F%2Fwww.webofscience.com%2Fwos%2Fwoscc%2Ffull-record%2FWOS:000170395500023","View Full Record in Web of Science")</f>
        <v>View Full Record in Web of Science</v>
      </c>
    </row>
    <row r="226" spans="1:72" x14ac:dyDescent="0.15">
      <c r="A226" t="s">
        <v>72</v>
      </c>
      <c r="B226" t="s">
        <v>3081</v>
      </c>
      <c r="C226" t="s">
        <v>74</v>
      </c>
      <c r="D226" t="s">
        <v>74</v>
      </c>
      <c r="E226" t="s">
        <v>74</v>
      </c>
      <c r="F226" t="s">
        <v>3081</v>
      </c>
      <c r="G226" t="s">
        <v>74</v>
      </c>
      <c r="H226" t="s">
        <v>74</v>
      </c>
      <c r="I226" t="s">
        <v>3082</v>
      </c>
      <c r="J226" t="s">
        <v>2813</v>
      </c>
      <c r="K226" t="s">
        <v>74</v>
      </c>
      <c r="L226" t="s">
        <v>74</v>
      </c>
      <c r="M226" t="s">
        <v>77</v>
      </c>
      <c r="N226" t="s">
        <v>78</v>
      </c>
      <c r="O226" t="s">
        <v>74</v>
      </c>
      <c r="P226" t="s">
        <v>74</v>
      </c>
      <c r="Q226" t="s">
        <v>74</v>
      </c>
      <c r="R226" t="s">
        <v>74</v>
      </c>
      <c r="S226" t="s">
        <v>74</v>
      </c>
      <c r="T226" t="s">
        <v>3083</v>
      </c>
      <c r="U226" t="s">
        <v>3084</v>
      </c>
      <c r="V226" t="s">
        <v>3085</v>
      </c>
      <c r="W226" t="s">
        <v>3086</v>
      </c>
      <c r="X226" t="s">
        <v>3087</v>
      </c>
      <c r="Y226" t="s">
        <v>3088</v>
      </c>
      <c r="Z226" t="s">
        <v>3089</v>
      </c>
      <c r="AA226" t="s">
        <v>3090</v>
      </c>
      <c r="AB226" t="s">
        <v>3091</v>
      </c>
      <c r="AC226" t="s">
        <v>74</v>
      </c>
      <c r="AD226" t="s">
        <v>74</v>
      </c>
      <c r="AE226" t="s">
        <v>74</v>
      </c>
      <c r="AF226" t="s">
        <v>74</v>
      </c>
      <c r="AG226">
        <v>60</v>
      </c>
      <c r="AH226">
        <v>103</v>
      </c>
      <c r="AI226">
        <v>111</v>
      </c>
      <c r="AJ226">
        <v>0</v>
      </c>
      <c r="AK226">
        <v>24</v>
      </c>
      <c r="AL226" t="s">
        <v>2823</v>
      </c>
      <c r="AM226" t="s">
        <v>2824</v>
      </c>
      <c r="AN226" t="s">
        <v>2825</v>
      </c>
      <c r="AO226" t="s">
        <v>2826</v>
      </c>
      <c r="AP226" t="s">
        <v>74</v>
      </c>
      <c r="AQ226" t="s">
        <v>74</v>
      </c>
      <c r="AR226" t="s">
        <v>2827</v>
      </c>
      <c r="AS226" t="s">
        <v>2828</v>
      </c>
      <c r="AT226" t="s">
        <v>74</v>
      </c>
      <c r="AU226">
        <v>2001</v>
      </c>
      <c r="AV226">
        <v>215</v>
      </c>
      <c r="AW226" t="s">
        <v>74</v>
      </c>
      <c r="AX226" t="s">
        <v>74</v>
      </c>
      <c r="AY226" t="s">
        <v>74</v>
      </c>
      <c r="AZ226" t="s">
        <v>74</v>
      </c>
      <c r="BA226" t="s">
        <v>74</v>
      </c>
      <c r="BB226">
        <v>143</v>
      </c>
      <c r="BC226">
        <v>154</v>
      </c>
      <c r="BD226" t="s">
        <v>74</v>
      </c>
      <c r="BE226" t="s">
        <v>3092</v>
      </c>
      <c r="BF226" t="str">
        <f>HYPERLINK("http://dx.doi.org/10.3354/meps215143","http://dx.doi.org/10.3354/meps215143")</f>
        <v>http://dx.doi.org/10.3354/meps215143</v>
      </c>
      <c r="BG226" t="s">
        <v>74</v>
      </c>
      <c r="BH226" t="s">
        <v>74</v>
      </c>
      <c r="BI226">
        <v>12</v>
      </c>
      <c r="BJ226" t="s">
        <v>2830</v>
      </c>
      <c r="BK226" t="s">
        <v>94</v>
      </c>
      <c r="BL226" t="s">
        <v>2831</v>
      </c>
      <c r="BM226" t="s">
        <v>3093</v>
      </c>
      <c r="BN226" t="s">
        <v>74</v>
      </c>
      <c r="BO226" t="s">
        <v>1755</v>
      </c>
      <c r="BP226" t="s">
        <v>74</v>
      </c>
      <c r="BQ226" t="s">
        <v>74</v>
      </c>
      <c r="BR226" t="s">
        <v>97</v>
      </c>
      <c r="BS226" t="s">
        <v>3094</v>
      </c>
      <c r="BT226" t="str">
        <f>HYPERLINK("https%3A%2F%2Fwww.webofscience.com%2Fwos%2Fwoscc%2Ffull-record%2FWOS:000169739900013","View Full Record in Web of Science")</f>
        <v>View Full Record in Web of Science</v>
      </c>
    </row>
    <row r="227" spans="1:72" x14ac:dyDescent="0.15">
      <c r="A227" t="s">
        <v>72</v>
      </c>
      <c r="B227" t="s">
        <v>3095</v>
      </c>
      <c r="C227" t="s">
        <v>74</v>
      </c>
      <c r="D227" t="s">
        <v>74</v>
      </c>
      <c r="E227" t="s">
        <v>74</v>
      </c>
      <c r="F227" t="s">
        <v>3095</v>
      </c>
      <c r="G227" t="s">
        <v>74</v>
      </c>
      <c r="H227" t="s">
        <v>74</v>
      </c>
      <c r="I227" t="s">
        <v>3096</v>
      </c>
      <c r="J227" t="s">
        <v>2813</v>
      </c>
      <c r="K227" t="s">
        <v>74</v>
      </c>
      <c r="L227" t="s">
        <v>74</v>
      </c>
      <c r="M227" t="s">
        <v>77</v>
      </c>
      <c r="N227" t="s">
        <v>78</v>
      </c>
      <c r="O227" t="s">
        <v>74</v>
      </c>
      <c r="P227" t="s">
        <v>74</v>
      </c>
      <c r="Q227" t="s">
        <v>74</v>
      </c>
      <c r="R227" t="s">
        <v>74</v>
      </c>
      <c r="S227" t="s">
        <v>74</v>
      </c>
      <c r="T227" t="s">
        <v>3097</v>
      </c>
      <c r="U227" t="s">
        <v>3098</v>
      </c>
      <c r="V227" t="s">
        <v>3099</v>
      </c>
      <c r="W227" t="s">
        <v>3100</v>
      </c>
      <c r="X227" t="s">
        <v>3101</v>
      </c>
      <c r="Y227" t="s">
        <v>3102</v>
      </c>
      <c r="Z227" t="s">
        <v>3103</v>
      </c>
      <c r="AA227" t="s">
        <v>3104</v>
      </c>
      <c r="AB227" t="s">
        <v>74</v>
      </c>
      <c r="AC227" t="s">
        <v>74</v>
      </c>
      <c r="AD227" t="s">
        <v>74</v>
      </c>
      <c r="AE227" t="s">
        <v>74</v>
      </c>
      <c r="AF227" t="s">
        <v>74</v>
      </c>
      <c r="AG227">
        <v>43</v>
      </c>
      <c r="AH227">
        <v>103</v>
      </c>
      <c r="AI227">
        <v>118</v>
      </c>
      <c r="AJ227">
        <v>1</v>
      </c>
      <c r="AK227">
        <v>16</v>
      </c>
      <c r="AL227" t="s">
        <v>2823</v>
      </c>
      <c r="AM227" t="s">
        <v>2824</v>
      </c>
      <c r="AN227" t="s">
        <v>2825</v>
      </c>
      <c r="AO227" t="s">
        <v>2826</v>
      </c>
      <c r="AP227" t="s">
        <v>2911</v>
      </c>
      <c r="AQ227" t="s">
        <v>74</v>
      </c>
      <c r="AR227" t="s">
        <v>2827</v>
      </c>
      <c r="AS227" t="s">
        <v>2828</v>
      </c>
      <c r="AT227" t="s">
        <v>74</v>
      </c>
      <c r="AU227">
        <v>2001</v>
      </c>
      <c r="AV227">
        <v>215</v>
      </c>
      <c r="AW227" t="s">
        <v>74</v>
      </c>
      <c r="AX227" t="s">
        <v>74</v>
      </c>
      <c r="AY227" t="s">
        <v>74</v>
      </c>
      <c r="AZ227" t="s">
        <v>74</v>
      </c>
      <c r="BA227" t="s">
        <v>74</v>
      </c>
      <c r="BB227">
        <v>179</v>
      </c>
      <c r="BC227">
        <v>189</v>
      </c>
      <c r="BD227" t="s">
        <v>74</v>
      </c>
      <c r="BE227" t="s">
        <v>3105</v>
      </c>
      <c r="BF227" t="str">
        <f>HYPERLINK("http://dx.doi.org/10.3354/meps215179","http://dx.doi.org/10.3354/meps215179")</f>
        <v>http://dx.doi.org/10.3354/meps215179</v>
      </c>
      <c r="BG227" t="s">
        <v>74</v>
      </c>
      <c r="BH227" t="s">
        <v>74</v>
      </c>
      <c r="BI227">
        <v>11</v>
      </c>
      <c r="BJ227" t="s">
        <v>2830</v>
      </c>
      <c r="BK227" t="s">
        <v>94</v>
      </c>
      <c r="BL227" t="s">
        <v>2831</v>
      </c>
      <c r="BM227" t="s">
        <v>3093</v>
      </c>
      <c r="BN227" t="s">
        <v>74</v>
      </c>
      <c r="BO227" t="s">
        <v>2451</v>
      </c>
      <c r="BP227" t="s">
        <v>74</v>
      </c>
      <c r="BQ227" t="s">
        <v>74</v>
      </c>
      <c r="BR227" t="s">
        <v>97</v>
      </c>
      <c r="BS227" t="s">
        <v>3106</v>
      </c>
      <c r="BT227" t="str">
        <f>HYPERLINK("https%3A%2F%2Fwww.webofscience.com%2Fwos%2Fwoscc%2Ffull-record%2FWOS:000169739900016","View Full Record in Web of Science")</f>
        <v>View Full Record in Web of Science</v>
      </c>
    </row>
    <row r="228" spans="1:72" x14ac:dyDescent="0.15">
      <c r="A228" t="s">
        <v>72</v>
      </c>
      <c r="B228" t="s">
        <v>3107</v>
      </c>
      <c r="C228" t="s">
        <v>74</v>
      </c>
      <c r="D228" t="s">
        <v>74</v>
      </c>
      <c r="E228" t="s">
        <v>74</v>
      </c>
      <c r="F228" t="s">
        <v>3107</v>
      </c>
      <c r="G228" t="s">
        <v>74</v>
      </c>
      <c r="H228" t="s">
        <v>74</v>
      </c>
      <c r="I228" t="s">
        <v>3108</v>
      </c>
      <c r="J228" t="s">
        <v>2813</v>
      </c>
      <c r="K228" t="s">
        <v>74</v>
      </c>
      <c r="L228" t="s">
        <v>74</v>
      </c>
      <c r="M228" t="s">
        <v>77</v>
      </c>
      <c r="N228" t="s">
        <v>78</v>
      </c>
      <c r="O228" t="s">
        <v>74</v>
      </c>
      <c r="P228" t="s">
        <v>74</v>
      </c>
      <c r="Q228" t="s">
        <v>74</v>
      </c>
      <c r="R228" t="s">
        <v>74</v>
      </c>
      <c r="S228" t="s">
        <v>74</v>
      </c>
      <c r="T228" t="s">
        <v>3109</v>
      </c>
      <c r="U228" t="s">
        <v>3110</v>
      </c>
      <c r="V228" t="s">
        <v>3111</v>
      </c>
      <c r="W228" t="s">
        <v>3112</v>
      </c>
      <c r="X228" t="s">
        <v>3113</v>
      </c>
      <c r="Y228" t="s">
        <v>3114</v>
      </c>
      <c r="Z228" t="s">
        <v>3115</v>
      </c>
      <c r="AA228" t="s">
        <v>74</v>
      </c>
      <c r="AB228" t="s">
        <v>74</v>
      </c>
      <c r="AC228" t="s">
        <v>74</v>
      </c>
      <c r="AD228" t="s">
        <v>74</v>
      </c>
      <c r="AE228" t="s">
        <v>74</v>
      </c>
      <c r="AF228" t="s">
        <v>74</v>
      </c>
      <c r="AG228">
        <v>60</v>
      </c>
      <c r="AH228">
        <v>31</v>
      </c>
      <c r="AI228">
        <v>35</v>
      </c>
      <c r="AJ228">
        <v>0</v>
      </c>
      <c r="AK228">
        <v>14</v>
      </c>
      <c r="AL228" t="s">
        <v>2823</v>
      </c>
      <c r="AM228" t="s">
        <v>2824</v>
      </c>
      <c r="AN228" t="s">
        <v>2825</v>
      </c>
      <c r="AO228" t="s">
        <v>2826</v>
      </c>
      <c r="AP228" t="s">
        <v>74</v>
      </c>
      <c r="AQ228" t="s">
        <v>74</v>
      </c>
      <c r="AR228" t="s">
        <v>2827</v>
      </c>
      <c r="AS228" t="s">
        <v>2828</v>
      </c>
      <c r="AT228" t="s">
        <v>74</v>
      </c>
      <c r="AU228">
        <v>2001</v>
      </c>
      <c r="AV228">
        <v>215</v>
      </c>
      <c r="AW228" t="s">
        <v>74</v>
      </c>
      <c r="AX228" t="s">
        <v>74</v>
      </c>
      <c r="AY228" t="s">
        <v>74</v>
      </c>
      <c r="AZ228" t="s">
        <v>74</v>
      </c>
      <c r="BA228" t="s">
        <v>74</v>
      </c>
      <c r="BB228">
        <v>191</v>
      </c>
      <c r="BC228">
        <v>200</v>
      </c>
      <c r="BD228" t="s">
        <v>74</v>
      </c>
      <c r="BE228" t="s">
        <v>3116</v>
      </c>
      <c r="BF228" t="str">
        <f>HYPERLINK("http://dx.doi.org/10.3354/meps215191","http://dx.doi.org/10.3354/meps215191")</f>
        <v>http://dx.doi.org/10.3354/meps215191</v>
      </c>
      <c r="BG228" t="s">
        <v>74</v>
      </c>
      <c r="BH228" t="s">
        <v>74</v>
      </c>
      <c r="BI228">
        <v>10</v>
      </c>
      <c r="BJ228" t="s">
        <v>2830</v>
      </c>
      <c r="BK228" t="s">
        <v>94</v>
      </c>
      <c r="BL228" t="s">
        <v>2831</v>
      </c>
      <c r="BM228" t="s">
        <v>3093</v>
      </c>
      <c r="BN228" t="s">
        <v>74</v>
      </c>
      <c r="BO228" t="s">
        <v>2451</v>
      </c>
      <c r="BP228" t="s">
        <v>74</v>
      </c>
      <c r="BQ228" t="s">
        <v>74</v>
      </c>
      <c r="BR228" t="s">
        <v>97</v>
      </c>
      <c r="BS228" t="s">
        <v>3117</v>
      </c>
      <c r="BT228" t="str">
        <f>HYPERLINK("https%3A%2F%2Fwww.webofscience.com%2Fwos%2Fwoscc%2Ffull-record%2FWOS:000169739900017","View Full Record in Web of Science")</f>
        <v>View Full Record in Web of Science</v>
      </c>
    </row>
    <row r="229" spans="1:72" x14ac:dyDescent="0.15">
      <c r="A229" t="s">
        <v>72</v>
      </c>
      <c r="B229" t="s">
        <v>3118</v>
      </c>
      <c r="C229" t="s">
        <v>74</v>
      </c>
      <c r="D229" t="s">
        <v>74</v>
      </c>
      <c r="E229" t="s">
        <v>74</v>
      </c>
      <c r="F229" t="s">
        <v>3118</v>
      </c>
      <c r="G229" t="s">
        <v>74</v>
      </c>
      <c r="H229" t="s">
        <v>74</v>
      </c>
      <c r="I229" t="s">
        <v>3119</v>
      </c>
      <c r="J229" t="s">
        <v>2813</v>
      </c>
      <c r="K229" t="s">
        <v>74</v>
      </c>
      <c r="L229" t="s">
        <v>74</v>
      </c>
      <c r="M229" t="s">
        <v>77</v>
      </c>
      <c r="N229" t="s">
        <v>78</v>
      </c>
      <c r="O229" t="s">
        <v>74</v>
      </c>
      <c r="P229" t="s">
        <v>74</v>
      </c>
      <c r="Q229" t="s">
        <v>74</v>
      </c>
      <c r="R229" t="s">
        <v>74</v>
      </c>
      <c r="S229" t="s">
        <v>74</v>
      </c>
      <c r="T229" t="s">
        <v>3120</v>
      </c>
      <c r="U229" t="s">
        <v>3121</v>
      </c>
      <c r="V229" t="s">
        <v>3122</v>
      </c>
      <c r="W229" t="s">
        <v>3123</v>
      </c>
      <c r="X229" t="s">
        <v>3124</v>
      </c>
      <c r="Y229" t="s">
        <v>3125</v>
      </c>
      <c r="Z229" t="s">
        <v>3126</v>
      </c>
      <c r="AA229" t="s">
        <v>74</v>
      </c>
      <c r="AB229" t="s">
        <v>3127</v>
      </c>
      <c r="AC229" t="s">
        <v>74</v>
      </c>
      <c r="AD229" t="s">
        <v>74</v>
      </c>
      <c r="AE229" t="s">
        <v>74</v>
      </c>
      <c r="AF229" t="s">
        <v>74</v>
      </c>
      <c r="AG229">
        <v>58</v>
      </c>
      <c r="AH229">
        <v>45</v>
      </c>
      <c r="AI229">
        <v>46</v>
      </c>
      <c r="AJ229">
        <v>0</v>
      </c>
      <c r="AK229">
        <v>12</v>
      </c>
      <c r="AL229" t="s">
        <v>2823</v>
      </c>
      <c r="AM229" t="s">
        <v>2824</v>
      </c>
      <c r="AN229" t="s">
        <v>2825</v>
      </c>
      <c r="AO229" t="s">
        <v>2826</v>
      </c>
      <c r="AP229" t="s">
        <v>2911</v>
      </c>
      <c r="AQ229" t="s">
        <v>74</v>
      </c>
      <c r="AR229" t="s">
        <v>2827</v>
      </c>
      <c r="AS229" t="s">
        <v>2828</v>
      </c>
      <c r="AT229" t="s">
        <v>74</v>
      </c>
      <c r="AU229">
        <v>2001</v>
      </c>
      <c r="AV229">
        <v>214</v>
      </c>
      <c r="AW229" t="s">
        <v>74</v>
      </c>
      <c r="AX229" t="s">
        <v>74</v>
      </c>
      <c r="AY229" t="s">
        <v>74</v>
      </c>
      <c r="AZ229" t="s">
        <v>74</v>
      </c>
      <c r="BA229" t="s">
        <v>74</v>
      </c>
      <c r="BB229">
        <v>177</v>
      </c>
      <c r="BC229">
        <v>200</v>
      </c>
      <c r="BD229" t="s">
        <v>74</v>
      </c>
      <c r="BE229" t="s">
        <v>3128</v>
      </c>
      <c r="BF229" t="str">
        <f>HYPERLINK("http://dx.doi.org/10.3354/meps214177","http://dx.doi.org/10.3354/meps214177")</f>
        <v>http://dx.doi.org/10.3354/meps214177</v>
      </c>
      <c r="BG229" t="s">
        <v>74</v>
      </c>
      <c r="BH229" t="s">
        <v>74</v>
      </c>
      <c r="BI229">
        <v>24</v>
      </c>
      <c r="BJ229" t="s">
        <v>2830</v>
      </c>
      <c r="BK229" t="s">
        <v>94</v>
      </c>
      <c r="BL229" t="s">
        <v>2831</v>
      </c>
      <c r="BM229" t="s">
        <v>3129</v>
      </c>
      <c r="BN229" t="s">
        <v>74</v>
      </c>
      <c r="BO229" t="s">
        <v>2451</v>
      </c>
      <c r="BP229" t="s">
        <v>74</v>
      </c>
      <c r="BQ229" t="s">
        <v>74</v>
      </c>
      <c r="BR229" t="s">
        <v>97</v>
      </c>
      <c r="BS229" t="s">
        <v>3130</v>
      </c>
      <c r="BT229" t="str">
        <f>HYPERLINK("https%3A%2F%2Fwww.webofscience.com%2Fwos%2Fwoscc%2Ffull-record%2FWOS:000168974500017","View Full Record in Web of Science")</f>
        <v>View Full Record in Web of Science</v>
      </c>
    </row>
    <row r="230" spans="1:72" x14ac:dyDescent="0.15">
      <c r="A230" t="s">
        <v>72</v>
      </c>
      <c r="B230" t="s">
        <v>3131</v>
      </c>
      <c r="C230" t="s">
        <v>74</v>
      </c>
      <c r="D230" t="s">
        <v>74</v>
      </c>
      <c r="E230" t="s">
        <v>74</v>
      </c>
      <c r="F230" t="s">
        <v>3131</v>
      </c>
      <c r="G230" t="s">
        <v>74</v>
      </c>
      <c r="H230" t="s">
        <v>74</v>
      </c>
      <c r="I230" t="s">
        <v>3132</v>
      </c>
      <c r="J230" t="s">
        <v>2813</v>
      </c>
      <c r="K230" t="s">
        <v>74</v>
      </c>
      <c r="L230" t="s">
        <v>74</v>
      </c>
      <c r="M230" t="s">
        <v>77</v>
      </c>
      <c r="N230" t="s">
        <v>78</v>
      </c>
      <c r="O230" t="s">
        <v>74</v>
      </c>
      <c r="P230" t="s">
        <v>74</v>
      </c>
      <c r="Q230" t="s">
        <v>74</v>
      </c>
      <c r="R230" t="s">
        <v>74</v>
      </c>
      <c r="S230" t="s">
        <v>74</v>
      </c>
      <c r="T230" t="s">
        <v>3133</v>
      </c>
      <c r="U230" t="s">
        <v>3134</v>
      </c>
      <c r="V230" t="s">
        <v>3135</v>
      </c>
      <c r="W230" t="s">
        <v>3136</v>
      </c>
      <c r="X230" t="s">
        <v>3137</v>
      </c>
      <c r="Y230" t="s">
        <v>3138</v>
      </c>
      <c r="Z230" t="s">
        <v>3139</v>
      </c>
      <c r="AA230" t="s">
        <v>74</v>
      </c>
      <c r="AB230" t="s">
        <v>74</v>
      </c>
      <c r="AC230" t="s">
        <v>74</v>
      </c>
      <c r="AD230" t="s">
        <v>74</v>
      </c>
      <c r="AE230" t="s">
        <v>74</v>
      </c>
      <c r="AF230" t="s">
        <v>74</v>
      </c>
      <c r="AG230">
        <v>51</v>
      </c>
      <c r="AH230">
        <v>144</v>
      </c>
      <c r="AI230">
        <v>160</v>
      </c>
      <c r="AJ230">
        <v>2</v>
      </c>
      <c r="AK230">
        <v>84</v>
      </c>
      <c r="AL230" t="s">
        <v>2823</v>
      </c>
      <c r="AM230" t="s">
        <v>2824</v>
      </c>
      <c r="AN230" t="s">
        <v>2825</v>
      </c>
      <c r="AO230" t="s">
        <v>2826</v>
      </c>
      <c r="AP230" t="s">
        <v>2911</v>
      </c>
      <c r="AQ230" t="s">
        <v>74</v>
      </c>
      <c r="AR230" t="s">
        <v>2827</v>
      </c>
      <c r="AS230" t="s">
        <v>2828</v>
      </c>
      <c r="AT230" t="s">
        <v>74</v>
      </c>
      <c r="AU230">
        <v>2001</v>
      </c>
      <c r="AV230">
        <v>213</v>
      </c>
      <c r="AW230" t="s">
        <v>74</v>
      </c>
      <c r="AX230" t="s">
        <v>74</v>
      </c>
      <c r="AY230" t="s">
        <v>74</v>
      </c>
      <c r="AZ230" t="s">
        <v>74</v>
      </c>
      <c r="BA230" t="s">
        <v>74</v>
      </c>
      <c r="BB230">
        <v>301</v>
      </c>
      <c r="BC230">
        <v>309</v>
      </c>
      <c r="BD230" t="s">
        <v>74</v>
      </c>
      <c r="BE230" t="s">
        <v>3140</v>
      </c>
      <c r="BF230" t="str">
        <f>HYPERLINK("http://dx.doi.org/10.3354/meps213301","http://dx.doi.org/10.3354/meps213301")</f>
        <v>http://dx.doi.org/10.3354/meps213301</v>
      </c>
      <c r="BG230" t="s">
        <v>74</v>
      </c>
      <c r="BH230" t="s">
        <v>74</v>
      </c>
      <c r="BI230">
        <v>9</v>
      </c>
      <c r="BJ230" t="s">
        <v>2830</v>
      </c>
      <c r="BK230" t="s">
        <v>94</v>
      </c>
      <c r="BL230" t="s">
        <v>2831</v>
      </c>
      <c r="BM230" t="s">
        <v>3141</v>
      </c>
      <c r="BN230" t="s">
        <v>74</v>
      </c>
      <c r="BO230" t="s">
        <v>1755</v>
      </c>
      <c r="BP230" t="s">
        <v>74</v>
      </c>
      <c r="BQ230" t="s">
        <v>74</v>
      </c>
      <c r="BR230" t="s">
        <v>97</v>
      </c>
      <c r="BS230" t="s">
        <v>3142</v>
      </c>
      <c r="BT230" t="str">
        <f>HYPERLINK("https%3A%2F%2Fwww.webofscience.com%2Fwos%2Fwoscc%2Ffull-record%2FWOS:000168704100023","View Full Record in Web of Science")</f>
        <v>View Full Record in Web of Science</v>
      </c>
    </row>
    <row r="231" spans="1:72" x14ac:dyDescent="0.15">
      <c r="A231" t="s">
        <v>72</v>
      </c>
      <c r="B231" t="s">
        <v>3143</v>
      </c>
      <c r="C231" t="s">
        <v>74</v>
      </c>
      <c r="D231" t="s">
        <v>74</v>
      </c>
      <c r="E231" t="s">
        <v>74</v>
      </c>
      <c r="F231" t="s">
        <v>3143</v>
      </c>
      <c r="G231" t="s">
        <v>74</v>
      </c>
      <c r="H231" t="s">
        <v>74</v>
      </c>
      <c r="I231" t="s">
        <v>3144</v>
      </c>
      <c r="J231" t="s">
        <v>2813</v>
      </c>
      <c r="K231" t="s">
        <v>74</v>
      </c>
      <c r="L231" t="s">
        <v>74</v>
      </c>
      <c r="M231" t="s">
        <v>77</v>
      </c>
      <c r="N231" t="s">
        <v>78</v>
      </c>
      <c r="O231" t="s">
        <v>74</v>
      </c>
      <c r="P231" t="s">
        <v>74</v>
      </c>
      <c r="Q231" t="s">
        <v>74</v>
      </c>
      <c r="R231" t="s">
        <v>74</v>
      </c>
      <c r="S231" t="s">
        <v>74</v>
      </c>
      <c r="T231" t="s">
        <v>3145</v>
      </c>
      <c r="U231" t="s">
        <v>3146</v>
      </c>
      <c r="V231" t="s">
        <v>3147</v>
      </c>
      <c r="W231" t="s">
        <v>3148</v>
      </c>
      <c r="X231" t="s">
        <v>1442</v>
      </c>
      <c r="Y231" t="s">
        <v>3149</v>
      </c>
      <c r="Z231" t="s">
        <v>3150</v>
      </c>
      <c r="AA231" t="s">
        <v>3151</v>
      </c>
      <c r="AB231" t="s">
        <v>3152</v>
      </c>
      <c r="AC231" t="s">
        <v>74</v>
      </c>
      <c r="AD231" t="s">
        <v>74</v>
      </c>
      <c r="AE231" t="s">
        <v>74</v>
      </c>
      <c r="AF231" t="s">
        <v>74</v>
      </c>
      <c r="AG231">
        <v>77</v>
      </c>
      <c r="AH231">
        <v>60</v>
      </c>
      <c r="AI231">
        <v>66</v>
      </c>
      <c r="AJ231">
        <v>1</v>
      </c>
      <c r="AK231">
        <v>14</v>
      </c>
      <c r="AL231" t="s">
        <v>2823</v>
      </c>
      <c r="AM231" t="s">
        <v>2824</v>
      </c>
      <c r="AN231" t="s">
        <v>2825</v>
      </c>
      <c r="AO231" t="s">
        <v>2826</v>
      </c>
      <c r="AP231" t="s">
        <v>74</v>
      </c>
      <c r="AQ231" t="s">
        <v>74</v>
      </c>
      <c r="AR231" t="s">
        <v>2827</v>
      </c>
      <c r="AS231" t="s">
        <v>2828</v>
      </c>
      <c r="AT231" t="s">
        <v>74</v>
      </c>
      <c r="AU231">
        <v>2001</v>
      </c>
      <c r="AV231">
        <v>212</v>
      </c>
      <c r="AW231" t="s">
        <v>74</v>
      </c>
      <c r="AX231" t="s">
        <v>74</v>
      </c>
      <c r="AY231" t="s">
        <v>74</v>
      </c>
      <c r="AZ231" t="s">
        <v>74</v>
      </c>
      <c r="BA231" t="s">
        <v>74</v>
      </c>
      <c r="BB231">
        <v>247</v>
      </c>
      <c r="BC231">
        <v>263</v>
      </c>
      <c r="BD231" t="s">
        <v>74</v>
      </c>
      <c r="BE231" t="s">
        <v>3153</v>
      </c>
      <c r="BF231" t="str">
        <f>HYPERLINK("http://dx.doi.org/10.3354/meps212247","http://dx.doi.org/10.3354/meps212247")</f>
        <v>http://dx.doi.org/10.3354/meps212247</v>
      </c>
      <c r="BG231" t="s">
        <v>74</v>
      </c>
      <c r="BH231" t="s">
        <v>74</v>
      </c>
      <c r="BI231">
        <v>17</v>
      </c>
      <c r="BJ231" t="s">
        <v>2830</v>
      </c>
      <c r="BK231" t="s">
        <v>94</v>
      </c>
      <c r="BL231" t="s">
        <v>2831</v>
      </c>
      <c r="BM231" t="s">
        <v>3154</v>
      </c>
      <c r="BN231" t="s">
        <v>74</v>
      </c>
      <c r="BO231" t="s">
        <v>1755</v>
      </c>
      <c r="BP231" t="s">
        <v>74</v>
      </c>
      <c r="BQ231" t="s">
        <v>74</v>
      </c>
      <c r="BR231" t="s">
        <v>97</v>
      </c>
      <c r="BS231" t="s">
        <v>3155</v>
      </c>
      <c r="BT231" t="str">
        <f>HYPERLINK("https%3A%2F%2Fwww.webofscience.com%2Fwos%2Fwoscc%2Ffull-record%2FWOS:000168017600021","View Full Record in Web of Science")</f>
        <v>View Full Record in Web of Science</v>
      </c>
    </row>
    <row r="232" spans="1:72" x14ac:dyDescent="0.15">
      <c r="A232" t="s">
        <v>72</v>
      </c>
      <c r="B232" t="s">
        <v>3156</v>
      </c>
      <c r="C232" t="s">
        <v>74</v>
      </c>
      <c r="D232" t="s">
        <v>74</v>
      </c>
      <c r="E232" t="s">
        <v>74</v>
      </c>
      <c r="F232" t="s">
        <v>3156</v>
      </c>
      <c r="G232" t="s">
        <v>74</v>
      </c>
      <c r="H232" t="s">
        <v>74</v>
      </c>
      <c r="I232" t="s">
        <v>3157</v>
      </c>
      <c r="J232" t="s">
        <v>2813</v>
      </c>
      <c r="K232" t="s">
        <v>74</v>
      </c>
      <c r="L232" t="s">
        <v>74</v>
      </c>
      <c r="M232" t="s">
        <v>77</v>
      </c>
      <c r="N232" t="s">
        <v>78</v>
      </c>
      <c r="O232" t="s">
        <v>74</v>
      </c>
      <c r="P232" t="s">
        <v>74</v>
      </c>
      <c r="Q232" t="s">
        <v>74</v>
      </c>
      <c r="R232" t="s">
        <v>74</v>
      </c>
      <c r="S232" t="s">
        <v>74</v>
      </c>
      <c r="T232" t="s">
        <v>3158</v>
      </c>
      <c r="U232" t="s">
        <v>3159</v>
      </c>
      <c r="V232" t="s">
        <v>3160</v>
      </c>
      <c r="W232" t="s">
        <v>3161</v>
      </c>
      <c r="X232" t="s">
        <v>3162</v>
      </c>
      <c r="Y232" t="s">
        <v>3163</v>
      </c>
      <c r="Z232" t="s">
        <v>3164</v>
      </c>
      <c r="AA232" t="s">
        <v>3165</v>
      </c>
      <c r="AB232" t="s">
        <v>3166</v>
      </c>
      <c r="AC232" t="s">
        <v>74</v>
      </c>
      <c r="AD232" t="s">
        <v>74</v>
      </c>
      <c r="AE232" t="s">
        <v>74</v>
      </c>
      <c r="AF232" t="s">
        <v>74</v>
      </c>
      <c r="AG232">
        <v>36</v>
      </c>
      <c r="AH232">
        <v>78</v>
      </c>
      <c r="AI232">
        <v>83</v>
      </c>
      <c r="AJ232">
        <v>1</v>
      </c>
      <c r="AK232">
        <v>16</v>
      </c>
      <c r="AL232" t="s">
        <v>2823</v>
      </c>
      <c r="AM232" t="s">
        <v>2824</v>
      </c>
      <c r="AN232" t="s">
        <v>2825</v>
      </c>
      <c r="AO232" t="s">
        <v>2826</v>
      </c>
      <c r="AP232" t="s">
        <v>2911</v>
      </c>
      <c r="AQ232" t="s">
        <v>74</v>
      </c>
      <c r="AR232" t="s">
        <v>2827</v>
      </c>
      <c r="AS232" t="s">
        <v>2828</v>
      </c>
      <c r="AT232" t="s">
        <v>74</v>
      </c>
      <c r="AU232">
        <v>2001</v>
      </c>
      <c r="AV232">
        <v>211</v>
      </c>
      <c r="AW232" t="s">
        <v>74</v>
      </c>
      <c r="AX232" t="s">
        <v>74</v>
      </c>
      <c r="AY232" t="s">
        <v>74</v>
      </c>
      <c r="AZ232" t="s">
        <v>74</v>
      </c>
      <c r="BA232" t="s">
        <v>74</v>
      </c>
      <c r="BB232">
        <v>43</v>
      </c>
      <c r="BC232">
        <v>49</v>
      </c>
      <c r="BD232" t="s">
        <v>74</v>
      </c>
      <c r="BE232" t="s">
        <v>3167</v>
      </c>
      <c r="BF232" t="str">
        <f>HYPERLINK("http://dx.doi.org/10.3354/meps211043","http://dx.doi.org/10.3354/meps211043")</f>
        <v>http://dx.doi.org/10.3354/meps211043</v>
      </c>
      <c r="BG232" t="s">
        <v>74</v>
      </c>
      <c r="BH232" t="s">
        <v>74</v>
      </c>
      <c r="BI232">
        <v>7</v>
      </c>
      <c r="BJ232" t="s">
        <v>2830</v>
      </c>
      <c r="BK232" t="s">
        <v>94</v>
      </c>
      <c r="BL232" t="s">
        <v>2831</v>
      </c>
      <c r="BM232" t="s">
        <v>3168</v>
      </c>
      <c r="BN232" t="s">
        <v>74</v>
      </c>
      <c r="BO232" t="s">
        <v>2294</v>
      </c>
      <c r="BP232" t="s">
        <v>74</v>
      </c>
      <c r="BQ232" t="s">
        <v>74</v>
      </c>
      <c r="BR232" t="s">
        <v>97</v>
      </c>
      <c r="BS232" t="s">
        <v>3169</v>
      </c>
      <c r="BT232" t="str">
        <f>HYPERLINK("https%3A%2F%2Fwww.webofscience.com%2Fwos%2Fwoscc%2Ffull-record%2FWOS:000167561300004","View Full Record in Web of Science")</f>
        <v>View Full Record in Web of Science</v>
      </c>
    </row>
    <row r="233" spans="1:72" x14ac:dyDescent="0.15">
      <c r="A233" t="s">
        <v>72</v>
      </c>
      <c r="B233" t="s">
        <v>3170</v>
      </c>
      <c r="C233" t="s">
        <v>74</v>
      </c>
      <c r="D233" t="s">
        <v>74</v>
      </c>
      <c r="E233" t="s">
        <v>74</v>
      </c>
      <c r="F233" t="s">
        <v>3170</v>
      </c>
      <c r="G233" t="s">
        <v>74</v>
      </c>
      <c r="H233" t="s">
        <v>74</v>
      </c>
      <c r="I233" t="s">
        <v>3171</v>
      </c>
      <c r="J233" t="s">
        <v>2813</v>
      </c>
      <c r="K233" t="s">
        <v>74</v>
      </c>
      <c r="L233" t="s">
        <v>74</v>
      </c>
      <c r="M233" t="s">
        <v>77</v>
      </c>
      <c r="N233" t="s">
        <v>78</v>
      </c>
      <c r="O233" t="s">
        <v>74</v>
      </c>
      <c r="P233" t="s">
        <v>74</v>
      </c>
      <c r="Q233" t="s">
        <v>74</v>
      </c>
      <c r="R233" t="s">
        <v>74</v>
      </c>
      <c r="S233" t="s">
        <v>74</v>
      </c>
      <c r="T233" t="s">
        <v>3172</v>
      </c>
      <c r="U233" t="s">
        <v>3173</v>
      </c>
      <c r="V233" t="s">
        <v>3174</v>
      </c>
      <c r="W233" t="s">
        <v>3175</v>
      </c>
      <c r="X233" t="s">
        <v>1250</v>
      </c>
      <c r="Y233" t="s">
        <v>3176</v>
      </c>
      <c r="Z233" t="s">
        <v>3177</v>
      </c>
      <c r="AA233" t="s">
        <v>74</v>
      </c>
      <c r="AB233" t="s">
        <v>74</v>
      </c>
      <c r="AC233" t="s">
        <v>74</v>
      </c>
      <c r="AD233" t="s">
        <v>74</v>
      </c>
      <c r="AE233" t="s">
        <v>74</v>
      </c>
      <c r="AF233" t="s">
        <v>74</v>
      </c>
      <c r="AG233">
        <v>50</v>
      </c>
      <c r="AH233">
        <v>128</v>
      </c>
      <c r="AI233">
        <v>141</v>
      </c>
      <c r="AJ233">
        <v>0</v>
      </c>
      <c r="AK233">
        <v>11</v>
      </c>
      <c r="AL233" t="s">
        <v>2823</v>
      </c>
      <c r="AM233" t="s">
        <v>2824</v>
      </c>
      <c r="AN233" t="s">
        <v>2825</v>
      </c>
      <c r="AO233" t="s">
        <v>2826</v>
      </c>
      <c r="AP233" t="s">
        <v>2911</v>
      </c>
      <c r="AQ233" t="s">
        <v>74</v>
      </c>
      <c r="AR233" t="s">
        <v>2827</v>
      </c>
      <c r="AS233" t="s">
        <v>2828</v>
      </c>
      <c r="AT233" t="s">
        <v>74</v>
      </c>
      <c r="AU233">
        <v>2001</v>
      </c>
      <c r="AV233">
        <v>211</v>
      </c>
      <c r="AW233" t="s">
        <v>74</v>
      </c>
      <c r="AX233" t="s">
        <v>74</v>
      </c>
      <c r="AY233" t="s">
        <v>74</v>
      </c>
      <c r="AZ233" t="s">
        <v>74</v>
      </c>
      <c r="BA233" t="s">
        <v>74</v>
      </c>
      <c r="BB233">
        <v>117</v>
      </c>
      <c r="BC233">
        <v>129</v>
      </c>
      <c r="BD233" t="s">
        <v>74</v>
      </c>
      <c r="BE233" t="s">
        <v>3178</v>
      </c>
      <c r="BF233" t="str">
        <f>HYPERLINK("http://dx.doi.org/10.3354/meps211117","http://dx.doi.org/10.3354/meps211117")</f>
        <v>http://dx.doi.org/10.3354/meps211117</v>
      </c>
      <c r="BG233" t="s">
        <v>74</v>
      </c>
      <c r="BH233" t="s">
        <v>74</v>
      </c>
      <c r="BI233">
        <v>13</v>
      </c>
      <c r="BJ233" t="s">
        <v>2830</v>
      </c>
      <c r="BK233" t="s">
        <v>94</v>
      </c>
      <c r="BL233" t="s">
        <v>2831</v>
      </c>
      <c r="BM233" t="s">
        <v>3168</v>
      </c>
      <c r="BN233" t="s">
        <v>74</v>
      </c>
      <c r="BO233" t="s">
        <v>1755</v>
      </c>
      <c r="BP233" t="s">
        <v>74</v>
      </c>
      <c r="BQ233" t="s">
        <v>74</v>
      </c>
      <c r="BR233" t="s">
        <v>97</v>
      </c>
      <c r="BS233" t="s">
        <v>3179</v>
      </c>
      <c r="BT233" t="str">
        <f>HYPERLINK("https%3A%2F%2Fwww.webofscience.com%2Fwos%2Fwoscc%2Ffull-record%2FWOS:000167561300010","View Full Record in Web of Science")</f>
        <v>View Full Record in Web of Science</v>
      </c>
    </row>
    <row r="234" spans="1:72" x14ac:dyDescent="0.15">
      <c r="A234" t="s">
        <v>72</v>
      </c>
      <c r="B234" t="s">
        <v>3180</v>
      </c>
      <c r="C234" t="s">
        <v>74</v>
      </c>
      <c r="D234" t="s">
        <v>74</v>
      </c>
      <c r="E234" t="s">
        <v>74</v>
      </c>
      <c r="F234" t="s">
        <v>3180</v>
      </c>
      <c r="G234" t="s">
        <v>74</v>
      </c>
      <c r="H234" t="s">
        <v>74</v>
      </c>
      <c r="I234" t="s">
        <v>3181</v>
      </c>
      <c r="J234" t="s">
        <v>2813</v>
      </c>
      <c r="K234" t="s">
        <v>74</v>
      </c>
      <c r="L234" t="s">
        <v>74</v>
      </c>
      <c r="M234" t="s">
        <v>77</v>
      </c>
      <c r="N234" t="s">
        <v>78</v>
      </c>
      <c r="O234" t="s">
        <v>74</v>
      </c>
      <c r="P234" t="s">
        <v>74</v>
      </c>
      <c r="Q234" t="s">
        <v>74</v>
      </c>
      <c r="R234" t="s">
        <v>74</v>
      </c>
      <c r="S234" t="s">
        <v>74</v>
      </c>
      <c r="T234" t="s">
        <v>3182</v>
      </c>
      <c r="U234" t="s">
        <v>3183</v>
      </c>
      <c r="V234" t="s">
        <v>3184</v>
      </c>
      <c r="W234" t="s">
        <v>3185</v>
      </c>
      <c r="X234" t="s">
        <v>3186</v>
      </c>
      <c r="Y234" t="s">
        <v>3187</v>
      </c>
      <c r="Z234" t="s">
        <v>3188</v>
      </c>
      <c r="AA234" t="s">
        <v>3189</v>
      </c>
      <c r="AB234" t="s">
        <v>3190</v>
      </c>
      <c r="AC234" t="s">
        <v>74</v>
      </c>
      <c r="AD234" t="s">
        <v>74</v>
      </c>
      <c r="AE234" t="s">
        <v>74</v>
      </c>
      <c r="AF234" t="s">
        <v>74</v>
      </c>
      <c r="AG234">
        <v>51</v>
      </c>
      <c r="AH234">
        <v>76</v>
      </c>
      <c r="AI234">
        <v>80</v>
      </c>
      <c r="AJ234">
        <v>0</v>
      </c>
      <c r="AK234">
        <v>16</v>
      </c>
      <c r="AL234" t="s">
        <v>2823</v>
      </c>
      <c r="AM234" t="s">
        <v>2824</v>
      </c>
      <c r="AN234" t="s">
        <v>2825</v>
      </c>
      <c r="AO234" t="s">
        <v>2826</v>
      </c>
      <c r="AP234" t="s">
        <v>74</v>
      </c>
      <c r="AQ234" t="s">
        <v>74</v>
      </c>
      <c r="AR234" t="s">
        <v>2827</v>
      </c>
      <c r="AS234" t="s">
        <v>2828</v>
      </c>
      <c r="AT234" t="s">
        <v>74</v>
      </c>
      <c r="AU234">
        <v>2001</v>
      </c>
      <c r="AV234">
        <v>210</v>
      </c>
      <c r="AW234" t="s">
        <v>74</v>
      </c>
      <c r="AX234" t="s">
        <v>74</v>
      </c>
      <c r="AY234" t="s">
        <v>74</v>
      </c>
      <c r="AZ234" t="s">
        <v>74</v>
      </c>
      <c r="BA234" t="s">
        <v>74</v>
      </c>
      <c r="BB234">
        <v>55</v>
      </c>
      <c r="BC234">
        <v>66</v>
      </c>
      <c r="BD234" t="s">
        <v>74</v>
      </c>
      <c r="BE234" t="s">
        <v>3191</v>
      </c>
      <c r="BF234" t="str">
        <f>HYPERLINK("http://dx.doi.org/10.3354/meps210055","http://dx.doi.org/10.3354/meps210055")</f>
        <v>http://dx.doi.org/10.3354/meps210055</v>
      </c>
      <c r="BG234" t="s">
        <v>74</v>
      </c>
      <c r="BH234" t="s">
        <v>74</v>
      </c>
      <c r="BI234">
        <v>12</v>
      </c>
      <c r="BJ234" t="s">
        <v>2830</v>
      </c>
      <c r="BK234" t="s">
        <v>94</v>
      </c>
      <c r="BL234" t="s">
        <v>2831</v>
      </c>
      <c r="BM234" t="s">
        <v>3192</v>
      </c>
      <c r="BN234" t="s">
        <v>74</v>
      </c>
      <c r="BO234" t="s">
        <v>2579</v>
      </c>
      <c r="BP234" t="s">
        <v>74</v>
      </c>
      <c r="BQ234" t="s">
        <v>74</v>
      </c>
      <c r="BR234" t="s">
        <v>97</v>
      </c>
      <c r="BS234" t="s">
        <v>3193</v>
      </c>
      <c r="BT234" t="str">
        <f>HYPERLINK("https%3A%2F%2Fwww.webofscience.com%2Fwos%2Fwoscc%2Ffull-record%2FWOS:000167175000005","View Full Record in Web of Science")</f>
        <v>View Full Record in Web of Science</v>
      </c>
    </row>
    <row r="235" spans="1:72" x14ac:dyDescent="0.15">
      <c r="A235" t="s">
        <v>72</v>
      </c>
      <c r="B235" t="s">
        <v>3194</v>
      </c>
      <c r="C235" t="s">
        <v>74</v>
      </c>
      <c r="D235" t="s">
        <v>74</v>
      </c>
      <c r="E235" t="s">
        <v>74</v>
      </c>
      <c r="F235" t="s">
        <v>3194</v>
      </c>
      <c r="G235" t="s">
        <v>74</v>
      </c>
      <c r="H235" t="s">
        <v>74</v>
      </c>
      <c r="I235" t="s">
        <v>3195</v>
      </c>
      <c r="J235" t="s">
        <v>2813</v>
      </c>
      <c r="K235" t="s">
        <v>74</v>
      </c>
      <c r="L235" t="s">
        <v>74</v>
      </c>
      <c r="M235" t="s">
        <v>77</v>
      </c>
      <c r="N235" t="s">
        <v>78</v>
      </c>
      <c r="O235" t="s">
        <v>74</v>
      </c>
      <c r="P235" t="s">
        <v>74</v>
      </c>
      <c r="Q235" t="s">
        <v>74</v>
      </c>
      <c r="R235" t="s">
        <v>74</v>
      </c>
      <c r="S235" t="s">
        <v>74</v>
      </c>
      <c r="T235" t="s">
        <v>3196</v>
      </c>
      <c r="U235" t="s">
        <v>3197</v>
      </c>
      <c r="V235" t="s">
        <v>3198</v>
      </c>
      <c r="W235" t="s">
        <v>3199</v>
      </c>
      <c r="X235" t="s">
        <v>3200</v>
      </c>
      <c r="Y235" t="s">
        <v>3201</v>
      </c>
      <c r="Z235" t="s">
        <v>3202</v>
      </c>
      <c r="AA235" t="s">
        <v>74</v>
      </c>
      <c r="AB235" t="s">
        <v>74</v>
      </c>
      <c r="AC235" t="s">
        <v>74</v>
      </c>
      <c r="AD235" t="s">
        <v>74</v>
      </c>
      <c r="AE235" t="s">
        <v>74</v>
      </c>
      <c r="AF235" t="s">
        <v>74</v>
      </c>
      <c r="AG235">
        <v>35</v>
      </c>
      <c r="AH235">
        <v>26</v>
      </c>
      <c r="AI235">
        <v>27</v>
      </c>
      <c r="AJ235">
        <v>1</v>
      </c>
      <c r="AK235">
        <v>7</v>
      </c>
      <c r="AL235" t="s">
        <v>2823</v>
      </c>
      <c r="AM235" t="s">
        <v>2824</v>
      </c>
      <c r="AN235" t="s">
        <v>2825</v>
      </c>
      <c r="AO235" t="s">
        <v>2826</v>
      </c>
      <c r="AP235" t="s">
        <v>74</v>
      </c>
      <c r="AQ235" t="s">
        <v>74</v>
      </c>
      <c r="AR235" t="s">
        <v>2827</v>
      </c>
      <c r="AS235" t="s">
        <v>2828</v>
      </c>
      <c r="AT235" t="s">
        <v>74</v>
      </c>
      <c r="AU235">
        <v>2001</v>
      </c>
      <c r="AV235">
        <v>210</v>
      </c>
      <c r="AW235" t="s">
        <v>74</v>
      </c>
      <c r="AX235" t="s">
        <v>74</v>
      </c>
      <c r="AY235" t="s">
        <v>74</v>
      </c>
      <c r="AZ235" t="s">
        <v>74</v>
      </c>
      <c r="BA235" t="s">
        <v>74</v>
      </c>
      <c r="BB235">
        <v>85</v>
      </c>
      <c r="BC235">
        <v>91</v>
      </c>
      <c r="BD235" t="s">
        <v>74</v>
      </c>
      <c r="BE235" t="s">
        <v>3203</v>
      </c>
      <c r="BF235" t="str">
        <f>HYPERLINK("http://dx.doi.org/10.3354/meps210085","http://dx.doi.org/10.3354/meps210085")</f>
        <v>http://dx.doi.org/10.3354/meps210085</v>
      </c>
      <c r="BG235" t="s">
        <v>74</v>
      </c>
      <c r="BH235" t="s">
        <v>74</v>
      </c>
      <c r="BI235">
        <v>7</v>
      </c>
      <c r="BJ235" t="s">
        <v>2830</v>
      </c>
      <c r="BK235" t="s">
        <v>94</v>
      </c>
      <c r="BL235" t="s">
        <v>2831</v>
      </c>
      <c r="BM235" t="s">
        <v>3192</v>
      </c>
      <c r="BN235" t="s">
        <v>74</v>
      </c>
      <c r="BO235" t="s">
        <v>1755</v>
      </c>
      <c r="BP235" t="s">
        <v>74</v>
      </c>
      <c r="BQ235" t="s">
        <v>74</v>
      </c>
      <c r="BR235" t="s">
        <v>97</v>
      </c>
      <c r="BS235" t="s">
        <v>3204</v>
      </c>
      <c r="BT235" t="str">
        <f>HYPERLINK("https%3A%2F%2Fwww.webofscience.com%2Fwos%2Fwoscc%2Ffull-record%2FWOS:000167175000007","View Full Record in Web of Science")</f>
        <v>View Full Record in Web of Science</v>
      </c>
    </row>
    <row r="236" spans="1:72" x14ac:dyDescent="0.15">
      <c r="A236" t="s">
        <v>72</v>
      </c>
      <c r="B236" t="s">
        <v>3205</v>
      </c>
      <c r="C236" t="s">
        <v>74</v>
      </c>
      <c r="D236" t="s">
        <v>74</v>
      </c>
      <c r="E236" t="s">
        <v>74</v>
      </c>
      <c r="F236" t="s">
        <v>3205</v>
      </c>
      <c r="G236" t="s">
        <v>74</v>
      </c>
      <c r="H236" t="s">
        <v>74</v>
      </c>
      <c r="I236" t="s">
        <v>3206</v>
      </c>
      <c r="J236" t="s">
        <v>2813</v>
      </c>
      <c r="K236" t="s">
        <v>74</v>
      </c>
      <c r="L236" t="s">
        <v>74</v>
      </c>
      <c r="M236" t="s">
        <v>77</v>
      </c>
      <c r="N236" t="s">
        <v>78</v>
      </c>
      <c r="O236" t="s">
        <v>74</v>
      </c>
      <c r="P236" t="s">
        <v>74</v>
      </c>
      <c r="Q236" t="s">
        <v>74</v>
      </c>
      <c r="R236" t="s">
        <v>74</v>
      </c>
      <c r="S236" t="s">
        <v>74</v>
      </c>
      <c r="T236" t="s">
        <v>3207</v>
      </c>
      <c r="U236" t="s">
        <v>3208</v>
      </c>
      <c r="V236" t="s">
        <v>3209</v>
      </c>
      <c r="W236" t="s">
        <v>3210</v>
      </c>
      <c r="X236" t="s">
        <v>3211</v>
      </c>
      <c r="Y236" t="s">
        <v>3212</v>
      </c>
      <c r="Z236" t="s">
        <v>3213</v>
      </c>
      <c r="AA236" t="s">
        <v>3214</v>
      </c>
      <c r="AB236" t="s">
        <v>3215</v>
      </c>
      <c r="AC236" t="s">
        <v>74</v>
      </c>
      <c r="AD236" t="s">
        <v>74</v>
      </c>
      <c r="AE236" t="s">
        <v>74</v>
      </c>
      <c r="AF236" t="s">
        <v>74</v>
      </c>
      <c r="AG236">
        <v>86</v>
      </c>
      <c r="AH236">
        <v>36</v>
      </c>
      <c r="AI236">
        <v>40</v>
      </c>
      <c r="AJ236">
        <v>2</v>
      </c>
      <c r="AK236">
        <v>18</v>
      </c>
      <c r="AL236" t="s">
        <v>2823</v>
      </c>
      <c r="AM236" t="s">
        <v>2824</v>
      </c>
      <c r="AN236" t="s">
        <v>2825</v>
      </c>
      <c r="AO236" t="s">
        <v>2826</v>
      </c>
      <c r="AP236" t="s">
        <v>74</v>
      </c>
      <c r="AQ236" t="s">
        <v>74</v>
      </c>
      <c r="AR236" t="s">
        <v>2827</v>
      </c>
      <c r="AS236" t="s">
        <v>2828</v>
      </c>
      <c r="AT236" t="s">
        <v>74</v>
      </c>
      <c r="AU236">
        <v>2001</v>
      </c>
      <c r="AV236">
        <v>209</v>
      </c>
      <c r="AW236" t="s">
        <v>74</v>
      </c>
      <c r="AX236" t="s">
        <v>74</v>
      </c>
      <c r="AY236" t="s">
        <v>74</v>
      </c>
      <c r="AZ236" t="s">
        <v>74</v>
      </c>
      <c r="BA236" t="s">
        <v>74</v>
      </c>
      <c r="BB236">
        <v>55</v>
      </c>
      <c r="BC236">
        <v>69</v>
      </c>
      <c r="BD236" t="s">
        <v>74</v>
      </c>
      <c r="BE236" t="s">
        <v>3216</v>
      </c>
      <c r="BF236" t="str">
        <f>HYPERLINK("http://dx.doi.org/10.3354/meps209055","http://dx.doi.org/10.3354/meps209055")</f>
        <v>http://dx.doi.org/10.3354/meps209055</v>
      </c>
      <c r="BG236" t="s">
        <v>74</v>
      </c>
      <c r="BH236" t="s">
        <v>74</v>
      </c>
      <c r="BI236">
        <v>15</v>
      </c>
      <c r="BJ236" t="s">
        <v>2830</v>
      </c>
      <c r="BK236" t="s">
        <v>94</v>
      </c>
      <c r="BL236" t="s">
        <v>2831</v>
      </c>
      <c r="BM236" t="s">
        <v>3217</v>
      </c>
      <c r="BN236" t="s">
        <v>74</v>
      </c>
      <c r="BO236" t="s">
        <v>1755</v>
      </c>
      <c r="BP236" t="s">
        <v>74</v>
      </c>
      <c r="BQ236" t="s">
        <v>74</v>
      </c>
      <c r="BR236" t="s">
        <v>97</v>
      </c>
      <c r="BS236" t="s">
        <v>3218</v>
      </c>
      <c r="BT236" t="str">
        <f>HYPERLINK("https%3A%2F%2Fwww.webofscience.com%2Fwos%2Fwoscc%2Ffull-record%2FWOS:000166834500005","View Full Record in Web of Science")</f>
        <v>View Full Record in Web of Science</v>
      </c>
    </row>
    <row r="237" spans="1:72" x14ac:dyDescent="0.15">
      <c r="A237" t="s">
        <v>72</v>
      </c>
      <c r="B237" t="s">
        <v>3219</v>
      </c>
      <c r="C237" t="s">
        <v>74</v>
      </c>
      <c r="D237" t="s">
        <v>74</v>
      </c>
      <c r="E237" t="s">
        <v>74</v>
      </c>
      <c r="F237" t="s">
        <v>3219</v>
      </c>
      <c r="G237" t="s">
        <v>74</v>
      </c>
      <c r="H237" t="s">
        <v>74</v>
      </c>
      <c r="I237" t="s">
        <v>3220</v>
      </c>
      <c r="J237" t="s">
        <v>2813</v>
      </c>
      <c r="K237" t="s">
        <v>74</v>
      </c>
      <c r="L237" t="s">
        <v>74</v>
      </c>
      <c r="M237" t="s">
        <v>77</v>
      </c>
      <c r="N237" t="s">
        <v>78</v>
      </c>
      <c r="O237" t="s">
        <v>74</v>
      </c>
      <c r="P237" t="s">
        <v>74</v>
      </c>
      <c r="Q237" t="s">
        <v>74</v>
      </c>
      <c r="R237" t="s">
        <v>74</v>
      </c>
      <c r="S237" t="s">
        <v>74</v>
      </c>
      <c r="T237" t="s">
        <v>3221</v>
      </c>
      <c r="U237" t="s">
        <v>3222</v>
      </c>
      <c r="V237" t="s">
        <v>3223</v>
      </c>
      <c r="W237" t="s">
        <v>3224</v>
      </c>
      <c r="X237" t="s">
        <v>3225</v>
      </c>
      <c r="Y237" t="s">
        <v>3226</v>
      </c>
      <c r="Z237" t="s">
        <v>3227</v>
      </c>
      <c r="AA237" t="s">
        <v>74</v>
      </c>
      <c r="AB237" t="s">
        <v>3228</v>
      </c>
      <c r="AC237" t="s">
        <v>74</v>
      </c>
      <c r="AD237" t="s">
        <v>74</v>
      </c>
      <c r="AE237" t="s">
        <v>74</v>
      </c>
      <c r="AF237" t="s">
        <v>74</v>
      </c>
      <c r="AG237">
        <v>43</v>
      </c>
      <c r="AH237">
        <v>42</v>
      </c>
      <c r="AI237">
        <v>50</v>
      </c>
      <c r="AJ237">
        <v>0</v>
      </c>
      <c r="AK237">
        <v>28</v>
      </c>
      <c r="AL237" t="s">
        <v>2823</v>
      </c>
      <c r="AM237" t="s">
        <v>2824</v>
      </c>
      <c r="AN237" t="s">
        <v>2825</v>
      </c>
      <c r="AO237" t="s">
        <v>2826</v>
      </c>
      <c r="AP237" t="s">
        <v>74</v>
      </c>
      <c r="AQ237" t="s">
        <v>74</v>
      </c>
      <c r="AR237" t="s">
        <v>2827</v>
      </c>
      <c r="AS237" t="s">
        <v>2828</v>
      </c>
      <c r="AT237" t="s">
        <v>74</v>
      </c>
      <c r="AU237">
        <v>2001</v>
      </c>
      <c r="AV237">
        <v>209</v>
      </c>
      <c r="AW237" t="s">
        <v>74</v>
      </c>
      <c r="AX237" t="s">
        <v>74</v>
      </c>
      <c r="AY237" t="s">
        <v>74</v>
      </c>
      <c r="AZ237" t="s">
        <v>74</v>
      </c>
      <c r="BA237" t="s">
        <v>74</v>
      </c>
      <c r="BB237">
        <v>203</v>
      </c>
      <c r="BC237">
        <v>217</v>
      </c>
      <c r="BD237" t="s">
        <v>74</v>
      </c>
      <c r="BE237" t="s">
        <v>3229</v>
      </c>
      <c r="BF237" t="str">
        <f>HYPERLINK("http://dx.doi.org/10.3354/meps209203","http://dx.doi.org/10.3354/meps209203")</f>
        <v>http://dx.doi.org/10.3354/meps209203</v>
      </c>
      <c r="BG237" t="s">
        <v>74</v>
      </c>
      <c r="BH237" t="s">
        <v>74</v>
      </c>
      <c r="BI237">
        <v>15</v>
      </c>
      <c r="BJ237" t="s">
        <v>2830</v>
      </c>
      <c r="BK237" t="s">
        <v>94</v>
      </c>
      <c r="BL237" t="s">
        <v>2831</v>
      </c>
      <c r="BM237" t="s">
        <v>3217</v>
      </c>
      <c r="BN237" t="s">
        <v>74</v>
      </c>
      <c r="BO237" t="s">
        <v>1755</v>
      </c>
      <c r="BP237" t="s">
        <v>74</v>
      </c>
      <c r="BQ237" t="s">
        <v>74</v>
      </c>
      <c r="BR237" t="s">
        <v>97</v>
      </c>
      <c r="BS237" t="s">
        <v>3230</v>
      </c>
      <c r="BT237" t="str">
        <f>HYPERLINK("https%3A%2F%2Fwww.webofscience.com%2Fwos%2Fwoscc%2Ffull-record%2FWOS:000166834500017","View Full Record in Web of Science")</f>
        <v>View Full Record in Web of Science</v>
      </c>
    </row>
    <row r="238" spans="1:72" x14ac:dyDescent="0.15">
      <c r="A238" t="s">
        <v>72</v>
      </c>
      <c r="B238" t="s">
        <v>3231</v>
      </c>
      <c r="C238" t="s">
        <v>74</v>
      </c>
      <c r="D238" t="s">
        <v>74</v>
      </c>
      <c r="E238" t="s">
        <v>74</v>
      </c>
      <c r="F238" t="s">
        <v>3231</v>
      </c>
      <c r="G238" t="s">
        <v>74</v>
      </c>
      <c r="H238" t="s">
        <v>74</v>
      </c>
      <c r="I238" t="s">
        <v>3232</v>
      </c>
      <c r="J238" t="s">
        <v>2813</v>
      </c>
      <c r="K238" t="s">
        <v>74</v>
      </c>
      <c r="L238" t="s">
        <v>74</v>
      </c>
      <c r="M238" t="s">
        <v>77</v>
      </c>
      <c r="N238" t="s">
        <v>78</v>
      </c>
      <c r="O238" t="s">
        <v>74</v>
      </c>
      <c r="P238" t="s">
        <v>74</v>
      </c>
      <c r="Q238" t="s">
        <v>74</v>
      </c>
      <c r="R238" t="s">
        <v>74</v>
      </c>
      <c r="S238" t="s">
        <v>74</v>
      </c>
      <c r="T238" t="s">
        <v>3233</v>
      </c>
      <c r="U238" t="s">
        <v>3234</v>
      </c>
      <c r="V238" t="s">
        <v>3235</v>
      </c>
      <c r="W238" t="s">
        <v>3236</v>
      </c>
      <c r="X238" t="s">
        <v>3237</v>
      </c>
      <c r="Y238" t="s">
        <v>3238</v>
      </c>
      <c r="Z238" t="s">
        <v>3239</v>
      </c>
      <c r="AA238" t="s">
        <v>74</v>
      </c>
      <c r="AB238" t="s">
        <v>3240</v>
      </c>
      <c r="AC238" t="s">
        <v>74</v>
      </c>
      <c r="AD238" t="s">
        <v>74</v>
      </c>
      <c r="AE238" t="s">
        <v>74</v>
      </c>
      <c r="AF238" t="s">
        <v>74</v>
      </c>
      <c r="AG238">
        <v>43</v>
      </c>
      <c r="AH238">
        <v>10</v>
      </c>
      <c r="AI238">
        <v>11</v>
      </c>
      <c r="AJ238">
        <v>0</v>
      </c>
      <c r="AK238">
        <v>8</v>
      </c>
      <c r="AL238" t="s">
        <v>2823</v>
      </c>
      <c r="AM238" t="s">
        <v>2824</v>
      </c>
      <c r="AN238" t="s">
        <v>2825</v>
      </c>
      <c r="AO238" t="s">
        <v>2826</v>
      </c>
      <c r="AP238" t="s">
        <v>74</v>
      </c>
      <c r="AQ238" t="s">
        <v>74</v>
      </c>
      <c r="AR238" t="s">
        <v>2827</v>
      </c>
      <c r="AS238" t="s">
        <v>2828</v>
      </c>
      <c r="AT238" t="s">
        <v>74</v>
      </c>
      <c r="AU238">
        <v>2001</v>
      </c>
      <c r="AV238">
        <v>209</v>
      </c>
      <c r="AW238" t="s">
        <v>74</v>
      </c>
      <c r="AX238" t="s">
        <v>74</v>
      </c>
      <c r="AY238" t="s">
        <v>74</v>
      </c>
      <c r="AZ238" t="s">
        <v>74</v>
      </c>
      <c r="BA238" t="s">
        <v>74</v>
      </c>
      <c r="BB238">
        <v>231</v>
      </c>
      <c r="BC238">
        <v>242</v>
      </c>
      <c r="BD238" t="s">
        <v>74</v>
      </c>
      <c r="BE238" t="s">
        <v>3241</v>
      </c>
      <c r="BF238" t="str">
        <f>HYPERLINK("http://dx.doi.org/10.3354/meps209231","http://dx.doi.org/10.3354/meps209231")</f>
        <v>http://dx.doi.org/10.3354/meps209231</v>
      </c>
      <c r="BG238" t="s">
        <v>74</v>
      </c>
      <c r="BH238" t="s">
        <v>74</v>
      </c>
      <c r="BI238">
        <v>12</v>
      </c>
      <c r="BJ238" t="s">
        <v>2830</v>
      </c>
      <c r="BK238" t="s">
        <v>94</v>
      </c>
      <c r="BL238" t="s">
        <v>2831</v>
      </c>
      <c r="BM238" t="s">
        <v>3217</v>
      </c>
      <c r="BN238" t="s">
        <v>74</v>
      </c>
      <c r="BO238" t="s">
        <v>1755</v>
      </c>
      <c r="BP238" t="s">
        <v>74</v>
      </c>
      <c r="BQ238" t="s">
        <v>74</v>
      </c>
      <c r="BR238" t="s">
        <v>97</v>
      </c>
      <c r="BS238" t="s">
        <v>3242</v>
      </c>
      <c r="BT238" t="str">
        <f>HYPERLINK("https%3A%2F%2Fwww.webofscience.com%2Fwos%2Fwoscc%2Ffull-record%2FWOS:000166834500019","View Full Record in Web of Science")</f>
        <v>View Full Record in Web of Science</v>
      </c>
    </row>
    <row r="239" spans="1:72" x14ac:dyDescent="0.15">
      <c r="A239" t="s">
        <v>72</v>
      </c>
      <c r="B239" t="s">
        <v>3243</v>
      </c>
      <c r="C239" t="s">
        <v>74</v>
      </c>
      <c r="D239" t="s">
        <v>74</v>
      </c>
      <c r="E239" t="s">
        <v>74</v>
      </c>
      <c r="F239" t="s">
        <v>3243</v>
      </c>
      <c r="G239" t="s">
        <v>74</v>
      </c>
      <c r="H239" t="s">
        <v>74</v>
      </c>
      <c r="I239" t="s">
        <v>3244</v>
      </c>
      <c r="J239" t="s">
        <v>3245</v>
      </c>
      <c r="K239" t="s">
        <v>74</v>
      </c>
      <c r="L239" t="s">
        <v>74</v>
      </c>
      <c r="M239" t="s">
        <v>77</v>
      </c>
      <c r="N239" t="s">
        <v>78</v>
      </c>
      <c r="O239" t="s">
        <v>74</v>
      </c>
      <c r="P239" t="s">
        <v>74</v>
      </c>
      <c r="Q239" t="s">
        <v>74</v>
      </c>
      <c r="R239" t="s">
        <v>74</v>
      </c>
      <c r="S239" t="s">
        <v>74</v>
      </c>
      <c r="T239" t="s">
        <v>3246</v>
      </c>
      <c r="U239" t="s">
        <v>3247</v>
      </c>
      <c r="V239" t="s">
        <v>3248</v>
      </c>
      <c r="W239" t="s">
        <v>3249</v>
      </c>
      <c r="X239" t="s">
        <v>3250</v>
      </c>
      <c r="Y239" t="s">
        <v>3251</v>
      </c>
      <c r="Z239" t="s">
        <v>74</v>
      </c>
      <c r="AA239" t="s">
        <v>3252</v>
      </c>
      <c r="AB239" t="s">
        <v>3253</v>
      </c>
      <c r="AC239" t="s">
        <v>74</v>
      </c>
      <c r="AD239" t="s">
        <v>74</v>
      </c>
      <c r="AE239" t="s">
        <v>74</v>
      </c>
      <c r="AF239" t="s">
        <v>74</v>
      </c>
      <c r="AG239">
        <v>30</v>
      </c>
      <c r="AH239">
        <v>24</v>
      </c>
      <c r="AI239">
        <v>28</v>
      </c>
      <c r="AJ239">
        <v>0</v>
      </c>
      <c r="AK239">
        <v>3</v>
      </c>
      <c r="AL239" t="s">
        <v>737</v>
      </c>
      <c r="AM239" t="s">
        <v>738</v>
      </c>
      <c r="AN239" t="s">
        <v>1253</v>
      </c>
      <c r="AO239" t="s">
        <v>3254</v>
      </c>
      <c r="AP239" t="s">
        <v>74</v>
      </c>
      <c r="AQ239" t="s">
        <v>74</v>
      </c>
      <c r="AR239" t="s">
        <v>3255</v>
      </c>
      <c r="AS239" t="s">
        <v>3256</v>
      </c>
      <c r="AT239" t="s">
        <v>74</v>
      </c>
      <c r="AU239">
        <v>2001</v>
      </c>
      <c r="AV239">
        <v>22</v>
      </c>
      <c r="AW239">
        <v>4</v>
      </c>
      <c r="AX239" t="s">
        <v>74</v>
      </c>
      <c r="AY239" t="s">
        <v>74</v>
      </c>
      <c r="AZ239" t="s">
        <v>74</v>
      </c>
      <c r="BA239" t="s">
        <v>74</v>
      </c>
      <c r="BB239">
        <v>289</v>
      </c>
      <c r="BC239">
        <v>302</v>
      </c>
      <c r="BD239" t="s">
        <v>74</v>
      </c>
      <c r="BE239" t="s">
        <v>3257</v>
      </c>
      <c r="BF239" t="str">
        <f>HYPERLINK("http://dx.doi.org/10.1023/A:1014638325616","http://dx.doi.org/10.1023/A:1014638325616")</f>
        <v>http://dx.doi.org/10.1023/A:1014638325616</v>
      </c>
      <c r="BG239" t="s">
        <v>74</v>
      </c>
      <c r="BH239" t="s">
        <v>74</v>
      </c>
      <c r="BI239">
        <v>14</v>
      </c>
      <c r="BJ239" t="s">
        <v>3258</v>
      </c>
      <c r="BK239" t="s">
        <v>94</v>
      </c>
      <c r="BL239" t="s">
        <v>3258</v>
      </c>
      <c r="BM239" t="s">
        <v>3259</v>
      </c>
      <c r="BN239" t="s">
        <v>74</v>
      </c>
      <c r="BO239" t="s">
        <v>74</v>
      </c>
      <c r="BP239" t="s">
        <v>74</v>
      </c>
      <c r="BQ239" t="s">
        <v>74</v>
      </c>
      <c r="BR239" t="s">
        <v>97</v>
      </c>
      <c r="BS239" t="s">
        <v>3260</v>
      </c>
      <c r="BT239" t="str">
        <f>HYPERLINK("https%3A%2F%2Fwww.webofscience.com%2Fwos%2Fwoscc%2Ffull-record%2FWOS:000174482100004","View Full Record in Web of Science")</f>
        <v>View Full Record in Web of Science</v>
      </c>
    </row>
    <row r="240" spans="1:72" x14ac:dyDescent="0.15">
      <c r="A240" t="s">
        <v>72</v>
      </c>
      <c r="B240" t="s">
        <v>3261</v>
      </c>
      <c r="C240" t="s">
        <v>74</v>
      </c>
      <c r="D240" t="s">
        <v>74</v>
      </c>
      <c r="E240" t="s">
        <v>74</v>
      </c>
      <c r="F240" t="s">
        <v>3261</v>
      </c>
      <c r="G240" t="s">
        <v>74</v>
      </c>
      <c r="H240" t="s">
        <v>74</v>
      </c>
      <c r="I240" t="s">
        <v>3262</v>
      </c>
      <c r="J240" t="s">
        <v>3245</v>
      </c>
      <c r="K240" t="s">
        <v>74</v>
      </c>
      <c r="L240" t="s">
        <v>74</v>
      </c>
      <c r="M240" t="s">
        <v>77</v>
      </c>
      <c r="N240" t="s">
        <v>78</v>
      </c>
      <c r="O240" t="s">
        <v>74</v>
      </c>
      <c r="P240" t="s">
        <v>74</v>
      </c>
      <c r="Q240" t="s">
        <v>74</v>
      </c>
      <c r="R240" t="s">
        <v>74</v>
      </c>
      <c r="S240" t="s">
        <v>74</v>
      </c>
      <c r="T240" t="s">
        <v>3263</v>
      </c>
      <c r="U240" t="s">
        <v>3264</v>
      </c>
      <c r="V240" t="s">
        <v>3265</v>
      </c>
      <c r="W240" t="s">
        <v>3266</v>
      </c>
      <c r="X240" t="s">
        <v>3267</v>
      </c>
      <c r="Y240" t="s">
        <v>3268</v>
      </c>
      <c r="Z240" t="s">
        <v>74</v>
      </c>
      <c r="AA240" t="s">
        <v>74</v>
      </c>
      <c r="AB240" t="s">
        <v>74</v>
      </c>
      <c r="AC240" t="s">
        <v>74</v>
      </c>
      <c r="AD240" t="s">
        <v>74</v>
      </c>
      <c r="AE240" t="s">
        <v>74</v>
      </c>
      <c r="AF240" t="s">
        <v>74</v>
      </c>
      <c r="AG240">
        <v>47</v>
      </c>
      <c r="AH240">
        <v>74</v>
      </c>
      <c r="AI240">
        <v>79</v>
      </c>
      <c r="AJ240">
        <v>2</v>
      </c>
      <c r="AK240">
        <v>13</v>
      </c>
      <c r="AL240" t="s">
        <v>737</v>
      </c>
      <c r="AM240" t="s">
        <v>738</v>
      </c>
      <c r="AN240" t="s">
        <v>1253</v>
      </c>
      <c r="AO240" t="s">
        <v>3254</v>
      </c>
      <c r="AP240" t="s">
        <v>74</v>
      </c>
      <c r="AQ240" t="s">
        <v>74</v>
      </c>
      <c r="AR240" t="s">
        <v>3255</v>
      </c>
      <c r="AS240" t="s">
        <v>3256</v>
      </c>
      <c r="AT240" t="s">
        <v>74</v>
      </c>
      <c r="AU240">
        <v>2001</v>
      </c>
      <c r="AV240">
        <v>22</v>
      </c>
      <c r="AW240" t="s">
        <v>3269</v>
      </c>
      <c r="AX240" t="s">
        <v>74</v>
      </c>
      <c r="AY240" t="s">
        <v>74</v>
      </c>
      <c r="AZ240" t="s">
        <v>74</v>
      </c>
      <c r="BA240" t="s">
        <v>74</v>
      </c>
      <c r="BB240">
        <v>401</v>
      </c>
      <c r="BC240">
        <v>416</v>
      </c>
      <c r="BD240" t="s">
        <v>74</v>
      </c>
      <c r="BE240" t="s">
        <v>3270</v>
      </c>
      <c r="BF240" t="str">
        <f>HYPERLINK("http://dx.doi.org/10.1023/A:1016347632294","http://dx.doi.org/10.1023/A:1016347632294")</f>
        <v>http://dx.doi.org/10.1023/A:1016347632294</v>
      </c>
      <c r="BG240" t="s">
        <v>74</v>
      </c>
      <c r="BH240" t="s">
        <v>74</v>
      </c>
      <c r="BI240">
        <v>16</v>
      </c>
      <c r="BJ240" t="s">
        <v>3258</v>
      </c>
      <c r="BK240" t="s">
        <v>94</v>
      </c>
      <c r="BL240" t="s">
        <v>3258</v>
      </c>
      <c r="BM240" t="s">
        <v>3271</v>
      </c>
      <c r="BN240" t="s">
        <v>74</v>
      </c>
      <c r="BO240" t="s">
        <v>74</v>
      </c>
      <c r="BP240" t="s">
        <v>74</v>
      </c>
      <c r="BQ240" t="s">
        <v>74</v>
      </c>
      <c r="BR240" t="s">
        <v>97</v>
      </c>
      <c r="BS240" t="s">
        <v>3272</v>
      </c>
      <c r="BT240" t="str">
        <f>HYPERLINK("https%3A%2F%2Fwww.webofscience.com%2Fwos%2Fwoscc%2Ffull-record%2FWOS:000176867300006","View Full Record in Web of Science")</f>
        <v>View Full Record in Web of Science</v>
      </c>
    </row>
    <row r="241" spans="1:72" x14ac:dyDescent="0.15">
      <c r="A241" t="s">
        <v>72</v>
      </c>
      <c r="B241" t="s">
        <v>3273</v>
      </c>
      <c r="C241" t="s">
        <v>74</v>
      </c>
      <c r="D241" t="s">
        <v>74</v>
      </c>
      <c r="E241" t="s">
        <v>74</v>
      </c>
      <c r="F241" t="s">
        <v>3273</v>
      </c>
      <c r="G241" t="s">
        <v>74</v>
      </c>
      <c r="H241" t="s">
        <v>74</v>
      </c>
      <c r="I241" t="s">
        <v>3274</v>
      </c>
      <c r="J241" t="s">
        <v>3245</v>
      </c>
      <c r="K241" t="s">
        <v>74</v>
      </c>
      <c r="L241" t="s">
        <v>74</v>
      </c>
      <c r="M241" t="s">
        <v>77</v>
      </c>
      <c r="N241" t="s">
        <v>78</v>
      </c>
      <c r="O241" t="s">
        <v>74</v>
      </c>
      <c r="P241" t="s">
        <v>74</v>
      </c>
      <c r="Q241" t="s">
        <v>74</v>
      </c>
      <c r="R241" t="s">
        <v>74</v>
      </c>
      <c r="S241" t="s">
        <v>74</v>
      </c>
      <c r="T241" t="s">
        <v>3275</v>
      </c>
      <c r="U241" t="s">
        <v>3276</v>
      </c>
      <c r="V241" t="s">
        <v>3277</v>
      </c>
      <c r="W241" t="s">
        <v>1249</v>
      </c>
      <c r="X241" t="s">
        <v>1250</v>
      </c>
      <c r="Y241" t="s">
        <v>3278</v>
      </c>
      <c r="Z241" t="s">
        <v>74</v>
      </c>
      <c r="AA241" t="s">
        <v>74</v>
      </c>
      <c r="AB241" t="s">
        <v>3279</v>
      </c>
      <c r="AC241" t="s">
        <v>74</v>
      </c>
      <c r="AD241" t="s">
        <v>74</v>
      </c>
      <c r="AE241" t="s">
        <v>74</v>
      </c>
      <c r="AF241" t="s">
        <v>74</v>
      </c>
      <c r="AG241">
        <v>51</v>
      </c>
      <c r="AH241">
        <v>45</v>
      </c>
      <c r="AI241">
        <v>53</v>
      </c>
      <c r="AJ241">
        <v>2</v>
      </c>
      <c r="AK241">
        <v>16</v>
      </c>
      <c r="AL241" t="s">
        <v>737</v>
      </c>
      <c r="AM241" t="s">
        <v>738</v>
      </c>
      <c r="AN241" t="s">
        <v>1253</v>
      </c>
      <c r="AO241" t="s">
        <v>3254</v>
      </c>
      <c r="AP241" t="s">
        <v>74</v>
      </c>
      <c r="AQ241" t="s">
        <v>74</v>
      </c>
      <c r="AR241" t="s">
        <v>3255</v>
      </c>
      <c r="AS241" t="s">
        <v>3256</v>
      </c>
      <c r="AT241" t="s">
        <v>74</v>
      </c>
      <c r="AU241">
        <v>2001</v>
      </c>
      <c r="AV241">
        <v>22</v>
      </c>
      <c r="AW241" t="s">
        <v>3269</v>
      </c>
      <c r="AX241" t="s">
        <v>74</v>
      </c>
      <c r="AY241" t="s">
        <v>74</v>
      </c>
      <c r="AZ241" t="s">
        <v>74</v>
      </c>
      <c r="BA241" t="s">
        <v>74</v>
      </c>
      <c r="BB241">
        <v>465</v>
      </c>
      <c r="BC241">
        <v>485</v>
      </c>
      <c r="BD241" t="s">
        <v>74</v>
      </c>
      <c r="BE241" t="s">
        <v>3280</v>
      </c>
      <c r="BF241" t="str">
        <f>HYPERLINK("http://dx.doi.org/10.1023/A:1016303817273","http://dx.doi.org/10.1023/A:1016303817273")</f>
        <v>http://dx.doi.org/10.1023/A:1016303817273</v>
      </c>
      <c r="BG241" t="s">
        <v>74</v>
      </c>
      <c r="BH241" t="s">
        <v>74</v>
      </c>
      <c r="BI241">
        <v>21</v>
      </c>
      <c r="BJ241" t="s">
        <v>3258</v>
      </c>
      <c r="BK241" t="s">
        <v>94</v>
      </c>
      <c r="BL241" t="s">
        <v>3258</v>
      </c>
      <c r="BM241" t="s">
        <v>3271</v>
      </c>
      <c r="BN241" t="s">
        <v>74</v>
      </c>
      <c r="BO241" t="s">
        <v>74</v>
      </c>
      <c r="BP241" t="s">
        <v>74</v>
      </c>
      <c r="BQ241" t="s">
        <v>74</v>
      </c>
      <c r="BR241" t="s">
        <v>97</v>
      </c>
      <c r="BS241" t="s">
        <v>3281</v>
      </c>
      <c r="BT241" t="str">
        <f>HYPERLINK("https%3A%2F%2Fwww.webofscience.com%2Fwos%2Fwoscc%2Ffull-record%2FWOS:000176867300009","View Full Record in Web of Science")</f>
        <v>View Full Record in Web of Science</v>
      </c>
    </row>
    <row r="242" spans="1:72" x14ac:dyDescent="0.15">
      <c r="A242" t="s">
        <v>72</v>
      </c>
      <c r="B242" t="s">
        <v>3282</v>
      </c>
      <c r="C242" t="s">
        <v>74</v>
      </c>
      <c r="D242" t="s">
        <v>74</v>
      </c>
      <c r="E242" t="s">
        <v>74</v>
      </c>
      <c r="F242" t="s">
        <v>3282</v>
      </c>
      <c r="G242" t="s">
        <v>74</v>
      </c>
      <c r="H242" t="s">
        <v>74</v>
      </c>
      <c r="I242" t="s">
        <v>3283</v>
      </c>
      <c r="J242" t="s">
        <v>3284</v>
      </c>
      <c r="K242" t="s">
        <v>74</v>
      </c>
      <c r="L242" t="s">
        <v>74</v>
      </c>
      <c r="M242" t="s">
        <v>77</v>
      </c>
      <c r="N242" t="s">
        <v>78</v>
      </c>
      <c r="O242" t="s">
        <v>74</v>
      </c>
      <c r="P242" t="s">
        <v>74</v>
      </c>
      <c r="Q242" t="s">
        <v>74</v>
      </c>
      <c r="R242" t="s">
        <v>74</v>
      </c>
      <c r="S242" t="s">
        <v>74</v>
      </c>
      <c r="T242" t="s">
        <v>3285</v>
      </c>
      <c r="U242" t="s">
        <v>3286</v>
      </c>
      <c r="V242" t="s">
        <v>3287</v>
      </c>
      <c r="W242" t="s">
        <v>3288</v>
      </c>
      <c r="X242" t="s">
        <v>3289</v>
      </c>
      <c r="Y242" t="s">
        <v>3290</v>
      </c>
      <c r="Z242" t="s">
        <v>3291</v>
      </c>
      <c r="AA242" t="s">
        <v>74</v>
      </c>
      <c r="AB242" t="s">
        <v>74</v>
      </c>
      <c r="AC242" t="s">
        <v>74</v>
      </c>
      <c r="AD242" t="s">
        <v>74</v>
      </c>
      <c r="AE242" t="s">
        <v>74</v>
      </c>
      <c r="AF242" t="s">
        <v>74</v>
      </c>
      <c r="AG242">
        <v>44</v>
      </c>
      <c r="AH242">
        <v>24</v>
      </c>
      <c r="AI242">
        <v>28</v>
      </c>
      <c r="AJ242">
        <v>2</v>
      </c>
      <c r="AK242">
        <v>10</v>
      </c>
      <c r="AL242" t="s">
        <v>3292</v>
      </c>
      <c r="AM242" t="s">
        <v>814</v>
      </c>
      <c r="AN242" t="s">
        <v>815</v>
      </c>
      <c r="AO242" t="s">
        <v>3293</v>
      </c>
      <c r="AP242" t="s">
        <v>3294</v>
      </c>
      <c r="AQ242" t="s">
        <v>74</v>
      </c>
      <c r="AR242" t="s">
        <v>3295</v>
      </c>
      <c r="AS242" t="s">
        <v>3296</v>
      </c>
      <c r="AT242" t="s">
        <v>91</v>
      </c>
      <c r="AU242">
        <v>2001</v>
      </c>
      <c r="AV242">
        <v>17</v>
      </c>
      <c r="AW242">
        <v>1</v>
      </c>
      <c r="AX242" t="s">
        <v>74</v>
      </c>
      <c r="AY242" t="s">
        <v>74</v>
      </c>
      <c r="AZ242" t="s">
        <v>74</v>
      </c>
      <c r="BA242" t="s">
        <v>74</v>
      </c>
      <c r="BB242">
        <v>147</v>
      </c>
      <c r="BC242">
        <v>160</v>
      </c>
      <c r="BD242" t="s">
        <v>74</v>
      </c>
      <c r="BE242" t="s">
        <v>3297</v>
      </c>
      <c r="BF242" t="str">
        <f>HYPERLINK("http://dx.doi.org/10.1111/j.1748-7692.2001.tb00985.x","http://dx.doi.org/10.1111/j.1748-7692.2001.tb00985.x")</f>
        <v>http://dx.doi.org/10.1111/j.1748-7692.2001.tb00985.x</v>
      </c>
      <c r="BG242" t="s">
        <v>74</v>
      </c>
      <c r="BH242" t="s">
        <v>74</v>
      </c>
      <c r="BI242">
        <v>14</v>
      </c>
      <c r="BJ242" t="s">
        <v>3298</v>
      </c>
      <c r="BK242" t="s">
        <v>94</v>
      </c>
      <c r="BL242" t="s">
        <v>3298</v>
      </c>
      <c r="BM242" t="s">
        <v>3299</v>
      </c>
      <c r="BN242" t="s">
        <v>74</v>
      </c>
      <c r="BO242" t="s">
        <v>74</v>
      </c>
      <c r="BP242" t="s">
        <v>74</v>
      </c>
      <c r="BQ242" t="s">
        <v>74</v>
      </c>
      <c r="BR242" t="s">
        <v>97</v>
      </c>
      <c r="BS242" t="s">
        <v>3300</v>
      </c>
      <c r="BT242" t="str">
        <f>HYPERLINK("https%3A%2F%2Fwww.webofscience.com%2Fwos%2Fwoscc%2Ffull-record%2FWOS:000165886400007","View Full Record in Web of Science")</f>
        <v>View Full Record in Web of Science</v>
      </c>
    </row>
    <row r="243" spans="1:72" x14ac:dyDescent="0.15">
      <c r="A243" t="s">
        <v>72</v>
      </c>
      <c r="B243" t="s">
        <v>3301</v>
      </c>
      <c r="C243" t="s">
        <v>74</v>
      </c>
      <c r="D243" t="s">
        <v>74</v>
      </c>
      <c r="E243" t="s">
        <v>74</v>
      </c>
      <c r="F243" t="s">
        <v>3301</v>
      </c>
      <c r="G243" t="s">
        <v>74</v>
      </c>
      <c r="H243" t="s">
        <v>74</v>
      </c>
      <c r="I243" t="s">
        <v>3302</v>
      </c>
      <c r="J243" t="s">
        <v>3303</v>
      </c>
      <c r="K243" t="s">
        <v>74</v>
      </c>
      <c r="L243" t="s">
        <v>74</v>
      </c>
      <c r="M243" t="s">
        <v>77</v>
      </c>
      <c r="N243" t="s">
        <v>78</v>
      </c>
      <c r="O243" t="s">
        <v>74</v>
      </c>
      <c r="P243" t="s">
        <v>74</v>
      </c>
      <c r="Q243" t="s">
        <v>74</v>
      </c>
      <c r="R243" t="s">
        <v>74</v>
      </c>
      <c r="S243" t="s">
        <v>74</v>
      </c>
      <c r="T243" t="s">
        <v>3304</v>
      </c>
      <c r="U243" t="s">
        <v>3305</v>
      </c>
      <c r="V243" t="s">
        <v>3306</v>
      </c>
      <c r="W243" t="s">
        <v>3307</v>
      </c>
      <c r="X243" t="s">
        <v>1491</v>
      </c>
      <c r="Y243" t="s">
        <v>3308</v>
      </c>
      <c r="Z243" t="s">
        <v>74</v>
      </c>
      <c r="AA243" t="s">
        <v>3309</v>
      </c>
      <c r="AB243" t="s">
        <v>74</v>
      </c>
      <c r="AC243" t="s">
        <v>74</v>
      </c>
      <c r="AD243" t="s">
        <v>74</v>
      </c>
      <c r="AE243" t="s">
        <v>74</v>
      </c>
      <c r="AF243" t="s">
        <v>74</v>
      </c>
      <c r="AG243">
        <v>16</v>
      </c>
      <c r="AH243">
        <v>10</v>
      </c>
      <c r="AI243">
        <v>11</v>
      </c>
      <c r="AJ243">
        <v>0</v>
      </c>
      <c r="AK243">
        <v>4</v>
      </c>
      <c r="AL243" t="s">
        <v>758</v>
      </c>
      <c r="AM243" t="s">
        <v>246</v>
      </c>
      <c r="AN243" t="s">
        <v>759</v>
      </c>
      <c r="AO243" t="s">
        <v>3310</v>
      </c>
      <c r="AP243" t="s">
        <v>74</v>
      </c>
      <c r="AQ243" t="s">
        <v>74</v>
      </c>
      <c r="AR243" t="s">
        <v>3311</v>
      </c>
      <c r="AS243" t="s">
        <v>3312</v>
      </c>
      <c r="AT243" t="s">
        <v>91</v>
      </c>
      <c r="AU243">
        <v>2001</v>
      </c>
      <c r="AV243">
        <v>25</v>
      </c>
      <c r="AW243">
        <v>1</v>
      </c>
      <c r="AX243" t="s">
        <v>74</v>
      </c>
      <c r="AY243" t="s">
        <v>74</v>
      </c>
      <c r="AZ243" t="s">
        <v>74</v>
      </c>
      <c r="BA243" t="s">
        <v>74</v>
      </c>
      <c r="BB243">
        <v>1</v>
      </c>
      <c r="BC243">
        <v>11</v>
      </c>
      <c r="BD243" t="s">
        <v>74</v>
      </c>
      <c r="BE243" t="s">
        <v>3313</v>
      </c>
      <c r="BF243" t="str">
        <f>HYPERLINK("http://dx.doi.org/10.1016/S0308-597X(00)00028-2","http://dx.doi.org/10.1016/S0308-597X(00)00028-2")</f>
        <v>http://dx.doi.org/10.1016/S0308-597X(00)00028-2</v>
      </c>
      <c r="BG243" t="s">
        <v>74</v>
      </c>
      <c r="BH243" t="s">
        <v>74</v>
      </c>
      <c r="BI243">
        <v>11</v>
      </c>
      <c r="BJ243" t="s">
        <v>3314</v>
      </c>
      <c r="BK243" t="s">
        <v>657</v>
      </c>
      <c r="BL243" t="s">
        <v>3315</v>
      </c>
      <c r="BM243" t="s">
        <v>3316</v>
      </c>
      <c r="BN243" t="s">
        <v>74</v>
      </c>
      <c r="BO243" t="s">
        <v>74</v>
      </c>
      <c r="BP243" t="s">
        <v>74</v>
      </c>
      <c r="BQ243" t="s">
        <v>74</v>
      </c>
      <c r="BR243" t="s">
        <v>97</v>
      </c>
      <c r="BS243" t="s">
        <v>3317</v>
      </c>
      <c r="BT243" t="str">
        <f>HYPERLINK("https%3A%2F%2Fwww.webofscience.com%2Fwos%2Fwoscc%2Ffull-record%2FWOS:000167202100001","View Full Record in Web of Science")</f>
        <v>View Full Record in Web of Science</v>
      </c>
    </row>
    <row r="244" spans="1:72" x14ac:dyDescent="0.15">
      <c r="A244" t="s">
        <v>72</v>
      </c>
      <c r="B244" t="s">
        <v>3318</v>
      </c>
      <c r="C244" t="s">
        <v>74</v>
      </c>
      <c r="D244" t="s">
        <v>74</v>
      </c>
      <c r="E244" t="s">
        <v>74</v>
      </c>
      <c r="F244" t="s">
        <v>3318</v>
      </c>
      <c r="G244" t="s">
        <v>74</v>
      </c>
      <c r="H244" t="s">
        <v>74</v>
      </c>
      <c r="I244" t="s">
        <v>3319</v>
      </c>
      <c r="J244" t="s">
        <v>3320</v>
      </c>
      <c r="K244" t="s">
        <v>74</v>
      </c>
      <c r="L244" t="s">
        <v>74</v>
      </c>
      <c r="M244" t="s">
        <v>77</v>
      </c>
      <c r="N244" t="s">
        <v>78</v>
      </c>
      <c r="O244" t="s">
        <v>74</v>
      </c>
      <c r="P244" t="s">
        <v>74</v>
      </c>
      <c r="Q244" t="s">
        <v>74</v>
      </c>
      <c r="R244" t="s">
        <v>74</v>
      </c>
      <c r="S244" t="s">
        <v>74</v>
      </c>
      <c r="T244" t="s">
        <v>74</v>
      </c>
      <c r="U244" t="s">
        <v>3321</v>
      </c>
      <c r="V244" t="s">
        <v>3322</v>
      </c>
      <c r="W244" t="s">
        <v>3323</v>
      </c>
      <c r="X244" t="s">
        <v>3324</v>
      </c>
      <c r="Y244" t="s">
        <v>3325</v>
      </c>
      <c r="Z244" t="s">
        <v>74</v>
      </c>
      <c r="AA244" t="s">
        <v>3326</v>
      </c>
      <c r="AB244" t="s">
        <v>3327</v>
      </c>
      <c r="AC244" t="s">
        <v>74</v>
      </c>
      <c r="AD244" t="s">
        <v>74</v>
      </c>
      <c r="AE244" t="s">
        <v>74</v>
      </c>
      <c r="AF244" t="s">
        <v>74</v>
      </c>
      <c r="AG244">
        <v>31</v>
      </c>
      <c r="AH244">
        <v>18</v>
      </c>
      <c r="AI244">
        <v>20</v>
      </c>
      <c r="AJ244">
        <v>0</v>
      </c>
      <c r="AK244">
        <v>2</v>
      </c>
      <c r="AL244" t="s">
        <v>3328</v>
      </c>
      <c r="AM244" t="s">
        <v>3329</v>
      </c>
      <c r="AN244" t="s">
        <v>3330</v>
      </c>
      <c r="AO244" t="s">
        <v>3331</v>
      </c>
      <c r="AP244" t="s">
        <v>74</v>
      </c>
      <c r="AQ244" t="s">
        <v>74</v>
      </c>
      <c r="AR244" t="s">
        <v>3332</v>
      </c>
      <c r="AS244" t="s">
        <v>3333</v>
      </c>
      <c r="AT244" t="s">
        <v>91</v>
      </c>
      <c r="AU244">
        <v>2001</v>
      </c>
      <c r="AV244">
        <v>36</v>
      </c>
      <c r="AW244">
        <v>1</v>
      </c>
      <c r="AX244" t="s">
        <v>74</v>
      </c>
      <c r="AY244" t="s">
        <v>74</v>
      </c>
      <c r="AZ244" t="s">
        <v>74</v>
      </c>
      <c r="BA244" t="s">
        <v>74</v>
      </c>
      <c r="BB244">
        <v>155</v>
      </c>
      <c r="BC244">
        <v>166</v>
      </c>
      <c r="BD244" t="s">
        <v>74</v>
      </c>
      <c r="BE244" t="s">
        <v>74</v>
      </c>
      <c r="BF244" t="s">
        <v>74</v>
      </c>
      <c r="BG244" t="s">
        <v>74</v>
      </c>
      <c r="BH244" t="s">
        <v>74</v>
      </c>
      <c r="BI244">
        <v>12</v>
      </c>
      <c r="BJ244" t="s">
        <v>953</v>
      </c>
      <c r="BK244" t="s">
        <v>94</v>
      </c>
      <c r="BL244" t="s">
        <v>953</v>
      </c>
      <c r="BM244" t="s">
        <v>3334</v>
      </c>
      <c r="BN244" t="s">
        <v>74</v>
      </c>
      <c r="BO244" t="s">
        <v>1755</v>
      </c>
      <c r="BP244" t="s">
        <v>74</v>
      </c>
      <c r="BQ244" t="s">
        <v>74</v>
      </c>
      <c r="BR244" t="s">
        <v>97</v>
      </c>
      <c r="BS244" t="s">
        <v>3335</v>
      </c>
      <c r="BT244" t="str">
        <f>HYPERLINK("https%3A%2F%2Fwww.webofscience.com%2Fwos%2Fwoscc%2Ffull-record%2FWOS:000167652600013","View Full Record in Web of Science")</f>
        <v>View Full Record in Web of Science</v>
      </c>
    </row>
    <row r="245" spans="1:72" x14ac:dyDescent="0.15">
      <c r="A245" t="s">
        <v>72</v>
      </c>
      <c r="B245" t="s">
        <v>3336</v>
      </c>
      <c r="C245" t="s">
        <v>74</v>
      </c>
      <c r="D245" t="s">
        <v>74</v>
      </c>
      <c r="E245" t="s">
        <v>74</v>
      </c>
      <c r="F245" t="s">
        <v>3336</v>
      </c>
      <c r="G245" t="s">
        <v>74</v>
      </c>
      <c r="H245" t="s">
        <v>74</v>
      </c>
      <c r="I245" t="s">
        <v>3337</v>
      </c>
      <c r="J245" t="s">
        <v>3338</v>
      </c>
      <c r="K245" t="s">
        <v>74</v>
      </c>
      <c r="L245" t="s">
        <v>74</v>
      </c>
      <c r="M245" t="s">
        <v>77</v>
      </c>
      <c r="N245" t="s">
        <v>78</v>
      </c>
      <c r="O245" t="s">
        <v>74</v>
      </c>
      <c r="P245" t="s">
        <v>74</v>
      </c>
      <c r="Q245" t="s">
        <v>74</v>
      </c>
      <c r="R245" t="s">
        <v>74</v>
      </c>
      <c r="S245" t="s">
        <v>74</v>
      </c>
      <c r="T245" t="s">
        <v>74</v>
      </c>
      <c r="U245" t="s">
        <v>3339</v>
      </c>
      <c r="V245" t="s">
        <v>3340</v>
      </c>
      <c r="W245" t="s">
        <v>3341</v>
      </c>
      <c r="X245" t="s">
        <v>3342</v>
      </c>
      <c r="Y245" t="s">
        <v>3343</v>
      </c>
      <c r="Z245" t="s">
        <v>74</v>
      </c>
      <c r="AA245" t="s">
        <v>74</v>
      </c>
      <c r="AB245" t="s">
        <v>3344</v>
      </c>
      <c r="AC245" t="s">
        <v>74</v>
      </c>
      <c r="AD245" t="s">
        <v>74</v>
      </c>
      <c r="AE245" t="s">
        <v>74</v>
      </c>
      <c r="AF245" t="s">
        <v>74</v>
      </c>
      <c r="AG245">
        <v>14</v>
      </c>
      <c r="AH245">
        <v>9</v>
      </c>
      <c r="AI245">
        <v>11</v>
      </c>
      <c r="AJ245">
        <v>0</v>
      </c>
      <c r="AK245">
        <v>2</v>
      </c>
      <c r="AL245" t="s">
        <v>3345</v>
      </c>
      <c r="AM245" t="s">
        <v>1508</v>
      </c>
      <c r="AN245" t="s">
        <v>3346</v>
      </c>
      <c r="AO245" t="s">
        <v>3347</v>
      </c>
      <c r="AP245" t="s">
        <v>74</v>
      </c>
      <c r="AQ245" t="s">
        <v>74</v>
      </c>
      <c r="AR245" t="s">
        <v>3348</v>
      </c>
      <c r="AS245" t="s">
        <v>3349</v>
      </c>
      <c r="AT245" t="s">
        <v>74</v>
      </c>
      <c r="AU245">
        <v>2001</v>
      </c>
      <c r="AV245">
        <v>10</v>
      </c>
      <c r="AW245">
        <v>2</v>
      </c>
      <c r="AX245" t="s">
        <v>74</v>
      </c>
      <c r="AY245" t="s">
        <v>74</v>
      </c>
      <c r="AZ245" t="s">
        <v>74</v>
      </c>
      <c r="BA245" t="s">
        <v>74</v>
      </c>
      <c r="BB245">
        <v>113</v>
      </c>
      <c r="BC245">
        <v>122</v>
      </c>
      <c r="BD245" t="s">
        <v>74</v>
      </c>
      <c r="BE245" t="s">
        <v>3350</v>
      </c>
      <c r="BF245" t="str">
        <f>HYPERLINK("http://dx.doi.org/10.1127/0941-2948/2001/0010-0113","http://dx.doi.org/10.1127/0941-2948/2001/0010-0113")</f>
        <v>http://dx.doi.org/10.1127/0941-2948/2001/0010-0113</v>
      </c>
      <c r="BG245" t="s">
        <v>74</v>
      </c>
      <c r="BH245" t="s">
        <v>74</v>
      </c>
      <c r="BI245">
        <v>10</v>
      </c>
      <c r="BJ245" t="s">
        <v>167</v>
      </c>
      <c r="BK245" t="s">
        <v>94</v>
      </c>
      <c r="BL245" t="s">
        <v>167</v>
      </c>
      <c r="BM245" t="s">
        <v>3351</v>
      </c>
      <c r="BN245" t="s">
        <v>74</v>
      </c>
      <c r="BO245" t="s">
        <v>74</v>
      </c>
      <c r="BP245" t="s">
        <v>74</v>
      </c>
      <c r="BQ245" t="s">
        <v>74</v>
      </c>
      <c r="BR245" t="s">
        <v>97</v>
      </c>
      <c r="BS245" t="s">
        <v>3352</v>
      </c>
      <c r="BT245" t="str">
        <f>HYPERLINK("https%3A%2F%2Fwww.webofscience.com%2Fwos%2Fwoscc%2Ffull-record%2FWOS:000168615800004","View Full Record in Web of Science")</f>
        <v>View Full Record in Web of Science</v>
      </c>
    </row>
    <row r="246" spans="1:72" x14ac:dyDescent="0.15">
      <c r="A246" t="s">
        <v>72</v>
      </c>
      <c r="B246" t="s">
        <v>3353</v>
      </c>
      <c r="C246" t="s">
        <v>74</v>
      </c>
      <c r="D246" t="s">
        <v>74</v>
      </c>
      <c r="E246" t="s">
        <v>74</v>
      </c>
      <c r="F246" t="s">
        <v>3353</v>
      </c>
      <c r="G246" t="s">
        <v>74</v>
      </c>
      <c r="H246" t="s">
        <v>74</v>
      </c>
      <c r="I246" t="s">
        <v>3354</v>
      </c>
      <c r="J246" t="s">
        <v>3355</v>
      </c>
      <c r="K246" t="s">
        <v>74</v>
      </c>
      <c r="L246" t="s">
        <v>74</v>
      </c>
      <c r="M246" t="s">
        <v>77</v>
      </c>
      <c r="N246" t="s">
        <v>78</v>
      </c>
      <c r="O246" t="s">
        <v>74</v>
      </c>
      <c r="P246" t="s">
        <v>74</v>
      </c>
      <c r="Q246" t="s">
        <v>74</v>
      </c>
      <c r="R246" t="s">
        <v>74</v>
      </c>
      <c r="S246" t="s">
        <v>74</v>
      </c>
      <c r="T246" t="s">
        <v>74</v>
      </c>
      <c r="U246" t="s">
        <v>3356</v>
      </c>
      <c r="V246" t="s">
        <v>3357</v>
      </c>
      <c r="W246" t="s">
        <v>3358</v>
      </c>
      <c r="X246" t="s">
        <v>3359</v>
      </c>
      <c r="Y246" t="s">
        <v>3360</v>
      </c>
      <c r="Z246" t="s">
        <v>3361</v>
      </c>
      <c r="AA246" t="s">
        <v>74</v>
      </c>
      <c r="AB246" t="s">
        <v>74</v>
      </c>
      <c r="AC246" t="s">
        <v>74</v>
      </c>
      <c r="AD246" t="s">
        <v>74</v>
      </c>
      <c r="AE246" t="s">
        <v>74</v>
      </c>
      <c r="AF246" t="s">
        <v>74</v>
      </c>
      <c r="AG246">
        <v>33</v>
      </c>
      <c r="AH246">
        <v>2</v>
      </c>
      <c r="AI246">
        <v>2</v>
      </c>
      <c r="AJ246">
        <v>1</v>
      </c>
      <c r="AK246">
        <v>3</v>
      </c>
      <c r="AL246" t="s">
        <v>3362</v>
      </c>
      <c r="AM246" t="s">
        <v>3363</v>
      </c>
      <c r="AN246" t="s">
        <v>3364</v>
      </c>
      <c r="AO246" t="s">
        <v>3365</v>
      </c>
      <c r="AP246" t="s">
        <v>3366</v>
      </c>
      <c r="AQ246" t="s">
        <v>74</v>
      </c>
      <c r="AR246" t="s">
        <v>3367</v>
      </c>
      <c r="AS246" t="s">
        <v>3368</v>
      </c>
      <c r="AT246" t="s">
        <v>74</v>
      </c>
      <c r="AU246">
        <v>2001</v>
      </c>
      <c r="AV246">
        <v>78</v>
      </c>
      <c r="AW246" t="s">
        <v>1046</v>
      </c>
      <c r="AX246" t="s">
        <v>74</v>
      </c>
      <c r="AY246" t="s">
        <v>74</v>
      </c>
      <c r="AZ246" t="s">
        <v>74</v>
      </c>
      <c r="BA246" t="s">
        <v>74</v>
      </c>
      <c r="BB246">
        <v>245</v>
      </c>
      <c r="BC246">
        <v>260</v>
      </c>
      <c r="BD246" t="s">
        <v>74</v>
      </c>
      <c r="BE246" t="s">
        <v>3369</v>
      </c>
      <c r="BF246" t="str">
        <f>HYPERLINK("http://dx.doi.org/10.1007/s703-001-8177-y","http://dx.doi.org/10.1007/s703-001-8177-y")</f>
        <v>http://dx.doi.org/10.1007/s703-001-8177-y</v>
      </c>
      <c r="BG246" t="s">
        <v>74</v>
      </c>
      <c r="BH246" t="s">
        <v>74</v>
      </c>
      <c r="BI246">
        <v>16</v>
      </c>
      <c r="BJ246" t="s">
        <v>167</v>
      </c>
      <c r="BK246" t="s">
        <v>94</v>
      </c>
      <c r="BL246" t="s">
        <v>167</v>
      </c>
      <c r="BM246" t="s">
        <v>3370</v>
      </c>
      <c r="BN246" t="s">
        <v>74</v>
      </c>
      <c r="BO246" t="s">
        <v>74</v>
      </c>
      <c r="BP246" t="s">
        <v>74</v>
      </c>
      <c r="BQ246" t="s">
        <v>74</v>
      </c>
      <c r="BR246" t="s">
        <v>97</v>
      </c>
      <c r="BS246" t="s">
        <v>3371</v>
      </c>
      <c r="BT246" t="str">
        <f>HYPERLINK("https%3A%2F%2Fwww.webofscience.com%2Fwos%2Fwoscc%2Ffull-record%2FWOS:000173035000008","View Full Record in Web of Science")</f>
        <v>View Full Record in Web of Science</v>
      </c>
    </row>
    <row r="247" spans="1:72" x14ac:dyDescent="0.15">
      <c r="A247" t="s">
        <v>72</v>
      </c>
      <c r="B247" t="s">
        <v>3372</v>
      </c>
      <c r="C247" t="s">
        <v>74</v>
      </c>
      <c r="D247" t="s">
        <v>74</v>
      </c>
      <c r="E247" t="s">
        <v>74</v>
      </c>
      <c r="F247" t="s">
        <v>3372</v>
      </c>
      <c r="G247" t="s">
        <v>74</v>
      </c>
      <c r="H247" t="s">
        <v>74</v>
      </c>
      <c r="I247" t="s">
        <v>3373</v>
      </c>
      <c r="J247" t="s">
        <v>3374</v>
      </c>
      <c r="K247" t="s">
        <v>3375</v>
      </c>
      <c r="L247" t="s">
        <v>74</v>
      </c>
      <c r="M247" t="s">
        <v>77</v>
      </c>
      <c r="N247" t="s">
        <v>236</v>
      </c>
      <c r="O247" t="s">
        <v>74</v>
      </c>
      <c r="P247" t="s">
        <v>74</v>
      </c>
      <c r="Q247" t="s">
        <v>74</v>
      </c>
      <c r="R247" t="s">
        <v>74</v>
      </c>
      <c r="S247" t="s">
        <v>74</v>
      </c>
      <c r="T247" t="s">
        <v>74</v>
      </c>
      <c r="U247" t="s">
        <v>3376</v>
      </c>
      <c r="V247" t="s">
        <v>74</v>
      </c>
      <c r="W247" t="s">
        <v>3377</v>
      </c>
      <c r="X247" t="s">
        <v>1491</v>
      </c>
      <c r="Y247" t="s">
        <v>3378</v>
      </c>
      <c r="Z247" t="s">
        <v>74</v>
      </c>
      <c r="AA247" t="s">
        <v>3379</v>
      </c>
      <c r="AB247" t="s">
        <v>3380</v>
      </c>
      <c r="AC247" t="s">
        <v>74</v>
      </c>
      <c r="AD247" t="s">
        <v>74</v>
      </c>
      <c r="AE247" t="s">
        <v>74</v>
      </c>
      <c r="AF247" t="s">
        <v>74</v>
      </c>
      <c r="AG247">
        <v>42</v>
      </c>
      <c r="AH247">
        <v>28</v>
      </c>
      <c r="AI247">
        <v>31</v>
      </c>
      <c r="AJ247">
        <v>1</v>
      </c>
      <c r="AK247">
        <v>9</v>
      </c>
      <c r="AL247" t="s">
        <v>1347</v>
      </c>
      <c r="AM247" t="s">
        <v>1348</v>
      </c>
      <c r="AN247" t="s">
        <v>1349</v>
      </c>
      <c r="AO247" t="s">
        <v>3381</v>
      </c>
      <c r="AP247" t="s">
        <v>74</v>
      </c>
      <c r="AQ247" t="s">
        <v>74</v>
      </c>
      <c r="AR247" t="s">
        <v>3382</v>
      </c>
      <c r="AS247" t="s">
        <v>74</v>
      </c>
      <c r="AT247" t="s">
        <v>74</v>
      </c>
      <c r="AU247">
        <v>2001</v>
      </c>
      <c r="AV247">
        <v>30</v>
      </c>
      <c r="AW247" t="s">
        <v>74</v>
      </c>
      <c r="AX247" t="s">
        <v>74</v>
      </c>
      <c r="AY247" t="s">
        <v>74</v>
      </c>
      <c r="AZ247" t="s">
        <v>74</v>
      </c>
      <c r="BA247" t="s">
        <v>74</v>
      </c>
      <c r="BB247">
        <v>591</v>
      </c>
      <c r="BC247">
        <v>614</v>
      </c>
      <c r="BD247" t="s">
        <v>74</v>
      </c>
      <c r="BE247" t="s">
        <v>3383</v>
      </c>
      <c r="BF247" t="str">
        <f>HYPERLINK("http://dx.doi.org/10.1016/S0580-9517(01)30064-8","http://dx.doi.org/10.1016/S0580-9517(01)30064-8")</f>
        <v>http://dx.doi.org/10.1016/S0580-9517(01)30064-8</v>
      </c>
      <c r="BG247" t="s">
        <v>74</v>
      </c>
      <c r="BH247" t="s">
        <v>74</v>
      </c>
      <c r="BI247">
        <v>24</v>
      </c>
      <c r="BJ247" t="s">
        <v>3384</v>
      </c>
      <c r="BK247" t="s">
        <v>94</v>
      </c>
      <c r="BL247" t="s">
        <v>3384</v>
      </c>
      <c r="BM247" t="s">
        <v>3385</v>
      </c>
      <c r="BN247" t="s">
        <v>74</v>
      </c>
      <c r="BO247" t="s">
        <v>74</v>
      </c>
      <c r="BP247" t="s">
        <v>74</v>
      </c>
      <c r="BQ247" t="s">
        <v>74</v>
      </c>
      <c r="BR247" t="s">
        <v>97</v>
      </c>
      <c r="BS247" t="s">
        <v>3386</v>
      </c>
      <c r="BT247" t="str">
        <f>HYPERLINK("https%3A%2F%2Fwww.webofscience.com%2Fwos%2Fwoscc%2Ffull-record%2FWOS:000169406600029","View Full Record in Web of Science")</f>
        <v>View Full Record in Web of Science</v>
      </c>
    </row>
    <row r="248" spans="1:72" x14ac:dyDescent="0.15">
      <c r="A248" t="s">
        <v>72</v>
      </c>
      <c r="B248" t="s">
        <v>3387</v>
      </c>
      <c r="C248" t="s">
        <v>74</v>
      </c>
      <c r="D248" t="s">
        <v>74</v>
      </c>
      <c r="E248" t="s">
        <v>74</v>
      </c>
      <c r="F248" t="s">
        <v>3387</v>
      </c>
      <c r="G248" t="s">
        <v>74</v>
      </c>
      <c r="H248" t="s">
        <v>74</v>
      </c>
      <c r="I248" t="s">
        <v>3388</v>
      </c>
      <c r="J248" t="s">
        <v>3389</v>
      </c>
      <c r="K248" t="s">
        <v>74</v>
      </c>
      <c r="L248" t="s">
        <v>74</v>
      </c>
      <c r="M248" t="s">
        <v>77</v>
      </c>
      <c r="N248" t="s">
        <v>78</v>
      </c>
      <c r="O248" t="s">
        <v>74</v>
      </c>
      <c r="P248" t="s">
        <v>74</v>
      </c>
      <c r="Q248" t="s">
        <v>74</v>
      </c>
      <c r="R248" t="s">
        <v>74</v>
      </c>
      <c r="S248" t="s">
        <v>74</v>
      </c>
      <c r="T248" t="s">
        <v>74</v>
      </c>
      <c r="U248" t="s">
        <v>3390</v>
      </c>
      <c r="V248" t="s">
        <v>3391</v>
      </c>
      <c r="W248" t="s">
        <v>3392</v>
      </c>
      <c r="X248" t="s">
        <v>3393</v>
      </c>
      <c r="Y248" t="s">
        <v>3394</v>
      </c>
      <c r="Z248" t="s">
        <v>3395</v>
      </c>
      <c r="AA248" t="s">
        <v>3396</v>
      </c>
      <c r="AB248" t="s">
        <v>3397</v>
      </c>
      <c r="AC248" t="s">
        <v>74</v>
      </c>
      <c r="AD248" t="s">
        <v>74</v>
      </c>
      <c r="AE248" t="s">
        <v>74</v>
      </c>
      <c r="AF248" t="s">
        <v>74</v>
      </c>
      <c r="AG248">
        <v>74</v>
      </c>
      <c r="AH248">
        <v>21</v>
      </c>
      <c r="AI248">
        <v>24</v>
      </c>
      <c r="AJ248">
        <v>0</v>
      </c>
      <c r="AK248">
        <v>4</v>
      </c>
      <c r="AL248" t="s">
        <v>906</v>
      </c>
      <c r="AM248" t="s">
        <v>160</v>
      </c>
      <c r="AN248" t="s">
        <v>928</v>
      </c>
      <c r="AO248" t="s">
        <v>3398</v>
      </c>
      <c r="AP248" t="s">
        <v>3399</v>
      </c>
      <c r="AQ248" t="s">
        <v>74</v>
      </c>
      <c r="AR248" t="s">
        <v>3400</v>
      </c>
      <c r="AS248" t="s">
        <v>3401</v>
      </c>
      <c r="AT248" t="s">
        <v>91</v>
      </c>
      <c r="AU248">
        <v>2001</v>
      </c>
      <c r="AV248">
        <v>41</v>
      </c>
      <c r="AW248">
        <v>1</v>
      </c>
      <c r="AX248" t="s">
        <v>74</v>
      </c>
      <c r="AY248" t="s">
        <v>74</v>
      </c>
      <c r="AZ248" t="s">
        <v>74</v>
      </c>
      <c r="BA248" t="s">
        <v>74</v>
      </c>
      <c r="BB248">
        <v>56</v>
      </c>
      <c r="BC248">
        <v>68</v>
      </c>
      <c r="BD248" t="s">
        <v>74</v>
      </c>
      <c r="BE248" t="s">
        <v>74</v>
      </c>
      <c r="BF248" t="s">
        <v>74</v>
      </c>
      <c r="BG248" t="s">
        <v>74</v>
      </c>
      <c r="BH248" t="s">
        <v>74</v>
      </c>
      <c r="BI248">
        <v>13</v>
      </c>
      <c r="BJ248" t="s">
        <v>3402</v>
      </c>
      <c r="BK248" t="s">
        <v>94</v>
      </c>
      <c r="BL248" t="s">
        <v>3403</v>
      </c>
      <c r="BM248" t="s">
        <v>3404</v>
      </c>
      <c r="BN248">
        <v>11252164</v>
      </c>
      <c r="BO248" t="s">
        <v>74</v>
      </c>
      <c r="BP248" t="s">
        <v>74</v>
      </c>
      <c r="BQ248" t="s">
        <v>74</v>
      </c>
      <c r="BR248" t="s">
        <v>97</v>
      </c>
      <c r="BS248" t="s">
        <v>3405</v>
      </c>
      <c r="BT248" t="str">
        <f>HYPERLINK("https%3A%2F%2Fwww.webofscience.com%2Fwos%2Fwoscc%2Ffull-record%2FWOS:000166710700006","View Full Record in Web of Science")</f>
        <v>View Full Record in Web of Science</v>
      </c>
    </row>
    <row r="249" spans="1:72" x14ac:dyDescent="0.15">
      <c r="A249" t="s">
        <v>72</v>
      </c>
      <c r="B249" t="s">
        <v>3406</v>
      </c>
      <c r="C249" t="s">
        <v>74</v>
      </c>
      <c r="D249" t="s">
        <v>74</v>
      </c>
      <c r="E249" t="s">
        <v>74</v>
      </c>
      <c r="F249" t="s">
        <v>3406</v>
      </c>
      <c r="G249" t="s">
        <v>74</v>
      </c>
      <c r="H249" t="s">
        <v>74</v>
      </c>
      <c r="I249" t="s">
        <v>3407</v>
      </c>
      <c r="J249" t="s">
        <v>3408</v>
      </c>
      <c r="K249" t="s">
        <v>74</v>
      </c>
      <c r="L249" t="s">
        <v>74</v>
      </c>
      <c r="M249" t="s">
        <v>77</v>
      </c>
      <c r="N249" t="s">
        <v>78</v>
      </c>
      <c r="O249" t="s">
        <v>74</v>
      </c>
      <c r="P249" t="s">
        <v>74</v>
      </c>
      <c r="Q249" t="s">
        <v>74</v>
      </c>
      <c r="R249" t="s">
        <v>74</v>
      </c>
      <c r="S249" t="s">
        <v>74</v>
      </c>
      <c r="T249" t="s">
        <v>74</v>
      </c>
      <c r="U249" t="s">
        <v>3409</v>
      </c>
      <c r="V249" t="s">
        <v>3410</v>
      </c>
      <c r="W249" t="s">
        <v>3411</v>
      </c>
      <c r="X249" t="s">
        <v>3412</v>
      </c>
      <c r="Y249" t="s">
        <v>3413</v>
      </c>
      <c r="Z249" t="s">
        <v>3414</v>
      </c>
      <c r="AA249" t="s">
        <v>3415</v>
      </c>
      <c r="AB249" t="s">
        <v>3416</v>
      </c>
      <c r="AC249" t="s">
        <v>74</v>
      </c>
      <c r="AD249" t="s">
        <v>74</v>
      </c>
      <c r="AE249" t="s">
        <v>74</v>
      </c>
      <c r="AF249" t="s">
        <v>74</v>
      </c>
      <c r="AG249">
        <v>97</v>
      </c>
      <c r="AH249">
        <v>14</v>
      </c>
      <c r="AI249">
        <v>15</v>
      </c>
      <c r="AJ249">
        <v>2</v>
      </c>
      <c r="AK249">
        <v>5</v>
      </c>
      <c r="AL249" t="s">
        <v>3417</v>
      </c>
      <c r="AM249" t="s">
        <v>3418</v>
      </c>
      <c r="AN249" t="s">
        <v>3419</v>
      </c>
      <c r="AO249" t="s">
        <v>3420</v>
      </c>
      <c r="AP249" t="s">
        <v>3421</v>
      </c>
      <c r="AQ249" t="s">
        <v>74</v>
      </c>
      <c r="AR249" t="s">
        <v>3408</v>
      </c>
      <c r="AS249" t="s">
        <v>3422</v>
      </c>
      <c r="AT249" t="s">
        <v>74</v>
      </c>
      <c r="AU249">
        <v>2001</v>
      </c>
      <c r="AV249">
        <v>47</v>
      </c>
      <c r="AW249">
        <v>2</v>
      </c>
      <c r="AX249" t="s">
        <v>74</v>
      </c>
      <c r="AY249" t="s">
        <v>74</v>
      </c>
      <c r="AZ249" t="s">
        <v>74</v>
      </c>
      <c r="BA249" t="s">
        <v>74</v>
      </c>
      <c r="BB249">
        <v>111</v>
      </c>
      <c r="BC249">
        <v>124</v>
      </c>
      <c r="BD249" t="s">
        <v>74</v>
      </c>
      <c r="BE249" t="s">
        <v>3423</v>
      </c>
      <c r="BF249" t="str">
        <f>HYPERLINK("http://dx.doi.org/10.2113/47.2.111","http://dx.doi.org/10.2113/47.2.111")</f>
        <v>http://dx.doi.org/10.2113/47.2.111</v>
      </c>
      <c r="BG249" t="s">
        <v>74</v>
      </c>
      <c r="BH249" t="s">
        <v>74</v>
      </c>
      <c r="BI249">
        <v>14</v>
      </c>
      <c r="BJ249" t="s">
        <v>3424</v>
      </c>
      <c r="BK249" t="s">
        <v>94</v>
      </c>
      <c r="BL249" t="s">
        <v>3424</v>
      </c>
      <c r="BM249" t="s">
        <v>3425</v>
      </c>
      <c r="BN249" t="s">
        <v>74</v>
      </c>
      <c r="BO249" t="s">
        <v>74</v>
      </c>
      <c r="BP249" t="s">
        <v>74</v>
      </c>
      <c r="BQ249" t="s">
        <v>74</v>
      </c>
      <c r="BR249" t="s">
        <v>97</v>
      </c>
      <c r="BS249" t="s">
        <v>3426</v>
      </c>
      <c r="BT249" t="str">
        <f>HYPERLINK("https%3A%2F%2Fwww.webofscience.com%2Fwos%2Fwoscc%2Ffull-record%2FWOS:000169577700002","View Full Record in Web of Science")</f>
        <v>View Full Record in Web of Science</v>
      </c>
    </row>
    <row r="250" spans="1:72" x14ac:dyDescent="0.15">
      <c r="A250" t="s">
        <v>1106</v>
      </c>
      <c r="B250" t="s">
        <v>3427</v>
      </c>
      <c r="C250" t="s">
        <v>74</v>
      </c>
      <c r="D250" t="s">
        <v>3428</v>
      </c>
      <c r="E250" t="s">
        <v>74</v>
      </c>
      <c r="F250" t="s">
        <v>3427</v>
      </c>
      <c r="G250" t="s">
        <v>74</v>
      </c>
      <c r="H250" t="s">
        <v>74</v>
      </c>
      <c r="I250" t="s">
        <v>3429</v>
      </c>
      <c r="J250" t="s">
        <v>3430</v>
      </c>
      <c r="K250" t="s">
        <v>1111</v>
      </c>
      <c r="L250" t="s">
        <v>74</v>
      </c>
      <c r="M250" t="s">
        <v>77</v>
      </c>
      <c r="N250" t="s">
        <v>576</v>
      </c>
      <c r="O250" t="s">
        <v>3431</v>
      </c>
      <c r="P250" t="s">
        <v>3432</v>
      </c>
      <c r="Q250" t="s">
        <v>1114</v>
      </c>
      <c r="R250" t="s">
        <v>74</v>
      </c>
      <c r="S250" t="s">
        <v>74</v>
      </c>
      <c r="T250" t="s">
        <v>74</v>
      </c>
      <c r="U250" t="s">
        <v>3433</v>
      </c>
      <c r="V250" t="s">
        <v>3434</v>
      </c>
      <c r="W250" t="s">
        <v>3435</v>
      </c>
      <c r="X250" t="s">
        <v>3436</v>
      </c>
      <c r="Y250" t="s">
        <v>3437</v>
      </c>
      <c r="Z250" t="s">
        <v>74</v>
      </c>
      <c r="AA250" t="s">
        <v>3438</v>
      </c>
      <c r="AB250" t="s">
        <v>3439</v>
      </c>
      <c r="AC250" t="s">
        <v>74</v>
      </c>
      <c r="AD250" t="s">
        <v>74</v>
      </c>
      <c r="AE250" t="s">
        <v>74</v>
      </c>
      <c r="AF250" t="s">
        <v>74</v>
      </c>
      <c r="AG250">
        <v>12</v>
      </c>
      <c r="AH250">
        <v>1</v>
      </c>
      <c r="AI250">
        <v>1</v>
      </c>
      <c r="AJ250">
        <v>0</v>
      </c>
      <c r="AK250">
        <v>0</v>
      </c>
      <c r="AL250" t="s">
        <v>1120</v>
      </c>
      <c r="AM250" t="s">
        <v>1121</v>
      </c>
      <c r="AN250" t="s">
        <v>1122</v>
      </c>
      <c r="AO250" t="s">
        <v>1123</v>
      </c>
      <c r="AP250" t="s">
        <v>74</v>
      </c>
      <c r="AQ250" t="s">
        <v>74</v>
      </c>
      <c r="AR250" t="s">
        <v>1124</v>
      </c>
      <c r="AS250" t="s">
        <v>74</v>
      </c>
      <c r="AT250" t="s">
        <v>74</v>
      </c>
      <c r="AU250">
        <v>2001</v>
      </c>
      <c r="AV250">
        <v>27</v>
      </c>
      <c r="AW250">
        <v>10</v>
      </c>
      <c r="AX250" t="s">
        <v>74</v>
      </c>
      <c r="AY250" t="s">
        <v>74</v>
      </c>
      <c r="AZ250" t="s">
        <v>74</v>
      </c>
      <c r="BA250" t="s">
        <v>74</v>
      </c>
      <c r="BB250">
        <v>1703</v>
      </c>
      <c r="BC250">
        <v>1708</v>
      </c>
      <c r="BD250" t="s">
        <v>74</v>
      </c>
      <c r="BE250" t="s">
        <v>3440</v>
      </c>
      <c r="BF250" t="str">
        <f>HYPERLINK("http://dx.doi.org/10.1016/S0273-1177(01)00239-3","http://dx.doi.org/10.1016/S0273-1177(01)00239-3")</f>
        <v>http://dx.doi.org/10.1016/S0273-1177(01)00239-3</v>
      </c>
      <c r="BG250" t="s">
        <v>74</v>
      </c>
      <c r="BH250" t="s">
        <v>74</v>
      </c>
      <c r="BI250">
        <v>6</v>
      </c>
      <c r="BJ250" t="s">
        <v>1126</v>
      </c>
      <c r="BK250" t="s">
        <v>596</v>
      </c>
      <c r="BL250" t="s">
        <v>1127</v>
      </c>
      <c r="BM250" t="s">
        <v>3441</v>
      </c>
      <c r="BN250" t="s">
        <v>74</v>
      </c>
      <c r="BO250" t="s">
        <v>74</v>
      </c>
      <c r="BP250" t="s">
        <v>74</v>
      </c>
      <c r="BQ250" t="s">
        <v>74</v>
      </c>
      <c r="BR250" t="s">
        <v>97</v>
      </c>
      <c r="BS250" t="s">
        <v>3442</v>
      </c>
      <c r="BT250" t="str">
        <f>HYPERLINK("https%3A%2F%2Fwww.webofscience.com%2Fwos%2Fwoscc%2Ffull-record%2FWOS:000172045800014","View Full Record in Web of Science")</f>
        <v>View Full Record in Web of Science</v>
      </c>
    </row>
    <row r="251" spans="1:72" x14ac:dyDescent="0.15">
      <c r="A251" t="s">
        <v>72</v>
      </c>
      <c r="B251" t="s">
        <v>3443</v>
      </c>
      <c r="C251" t="s">
        <v>74</v>
      </c>
      <c r="D251" t="s">
        <v>74</v>
      </c>
      <c r="E251" t="s">
        <v>74</v>
      </c>
      <c r="F251" t="s">
        <v>3443</v>
      </c>
      <c r="G251" t="s">
        <v>74</v>
      </c>
      <c r="H251" t="s">
        <v>74</v>
      </c>
      <c r="I251" t="s">
        <v>3444</v>
      </c>
      <c r="J251" t="s">
        <v>3445</v>
      </c>
      <c r="K251" t="s">
        <v>74</v>
      </c>
      <c r="L251" t="s">
        <v>74</v>
      </c>
      <c r="M251" t="s">
        <v>77</v>
      </c>
      <c r="N251" t="s">
        <v>78</v>
      </c>
      <c r="O251" t="s">
        <v>74</v>
      </c>
      <c r="P251" t="s">
        <v>74</v>
      </c>
      <c r="Q251" t="s">
        <v>74</v>
      </c>
      <c r="R251" t="s">
        <v>74</v>
      </c>
      <c r="S251" t="s">
        <v>74</v>
      </c>
      <c r="T251" t="s">
        <v>74</v>
      </c>
      <c r="U251" t="s">
        <v>3446</v>
      </c>
      <c r="V251" t="s">
        <v>3447</v>
      </c>
      <c r="W251" t="s">
        <v>3448</v>
      </c>
      <c r="X251" t="s">
        <v>3449</v>
      </c>
      <c r="Y251" t="s">
        <v>3450</v>
      </c>
      <c r="Z251" t="s">
        <v>3451</v>
      </c>
      <c r="AA251" t="s">
        <v>1859</v>
      </c>
      <c r="AB251" t="s">
        <v>74</v>
      </c>
      <c r="AC251" t="s">
        <v>74</v>
      </c>
      <c r="AD251" t="s">
        <v>74</v>
      </c>
      <c r="AE251" t="s">
        <v>74</v>
      </c>
      <c r="AF251" t="s">
        <v>74</v>
      </c>
      <c r="AG251">
        <v>32</v>
      </c>
      <c r="AH251">
        <v>40</v>
      </c>
      <c r="AI251">
        <v>42</v>
      </c>
      <c r="AJ251">
        <v>0</v>
      </c>
      <c r="AK251">
        <v>9</v>
      </c>
      <c r="AL251" t="s">
        <v>1842</v>
      </c>
      <c r="AM251" t="s">
        <v>1843</v>
      </c>
      <c r="AN251" t="s">
        <v>1844</v>
      </c>
      <c r="AO251" t="s">
        <v>3452</v>
      </c>
      <c r="AP251" t="s">
        <v>3453</v>
      </c>
      <c r="AQ251" t="s">
        <v>74</v>
      </c>
      <c r="AR251" t="s">
        <v>3454</v>
      </c>
      <c r="AS251" t="s">
        <v>3455</v>
      </c>
      <c r="AT251" t="s">
        <v>74</v>
      </c>
      <c r="AU251">
        <v>2001</v>
      </c>
      <c r="AV251">
        <v>129</v>
      </c>
      <c r="AW251">
        <v>1</v>
      </c>
      <c r="AX251" t="s">
        <v>74</v>
      </c>
      <c r="AY251" t="s">
        <v>74</v>
      </c>
      <c r="AZ251" t="s">
        <v>74</v>
      </c>
      <c r="BA251" t="s">
        <v>74</v>
      </c>
      <c r="BB251">
        <v>26</v>
      </c>
      <c r="BC251">
        <v>46</v>
      </c>
      <c r="BD251" t="s">
        <v>74</v>
      </c>
      <c r="BE251" t="s">
        <v>3456</v>
      </c>
      <c r="BF251" t="str">
        <f>HYPERLINK("http://dx.doi.org/10.1175/1520-0493(2001)129&lt;0026:EOTSFP&gt;2.0.CO;2","http://dx.doi.org/10.1175/1520-0493(2001)129&lt;0026:EOTSFP&gt;2.0.CO;2")</f>
        <v>http://dx.doi.org/10.1175/1520-0493(2001)129&lt;0026:EOTSFP&gt;2.0.CO;2</v>
      </c>
      <c r="BG251" t="s">
        <v>74</v>
      </c>
      <c r="BH251" t="s">
        <v>74</v>
      </c>
      <c r="BI251">
        <v>21</v>
      </c>
      <c r="BJ251" t="s">
        <v>167</v>
      </c>
      <c r="BK251" t="s">
        <v>94</v>
      </c>
      <c r="BL251" t="s">
        <v>167</v>
      </c>
      <c r="BM251" t="s">
        <v>3457</v>
      </c>
      <c r="BN251" t="s">
        <v>74</v>
      </c>
      <c r="BO251" t="s">
        <v>1068</v>
      </c>
      <c r="BP251" t="s">
        <v>74</v>
      </c>
      <c r="BQ251" t="s">
        <v>74</v>
      </c>
      <c r="BR251" t="s">
        <v>97</v>
      </c>
      <c r="BS251" t="s">
        <v>3458</v>
      </c>
      <c r="BT251" t="str">
        <f>HYPERLINK("https%3A%2F%2Fwww.webofscience.com%2Fwos%2Fwoscc%2Ffull-record%2FWOS:000166475400002","View Full Record in Web of Science")</f>
        <v>View Full Record in Web of Science</v>
      </c>
    </row>
    <row r="252" spans="1:72" x14ac:dyDescent="0.15">
      <c r="A252" t="s">
        <v>72</v>
      </c>
      <c r="B252" t="s">
        <v>3459</v>
      </c>
      <c r="C252" t="s">
        <v>74</v>
      </c>
      <c r="D252" t="s">
        <v>74</v>
      </c>
      <c r="E252" t="s">
        <v>74</v>
      </c>
      <c r="F252" t="s">
        <v>3459</v>
      </c>
      <c r="G252" t="s">
        <v>74</v>
      </c>
      <c r="H252" t="s">
        <v>74</v>
      </c>
      <c r="I252" t="s">
        <v>3460</v>
      </c>
      <c r="J252" t="s">
        <v>3445</v>
      </c>
      <c r="K252" t="s">
        <v>74</v>
      </c>
      <c r="L252" t="s">
        <v>74</v>
      </c>
      <c r="M252" t="s">
        <v>77</v>
      </c>
      <c r="N252" t="s">
        <v>78</v>
      </c>
      <c r="O252" t="s">
        <v>74</v>
      </c>
      <c r="P252" t="s">
        <v>74</v>
      </c>
      <c r="Q252" t="s">
        <v>74</v>
      </c>
      <c r="R252" t="s">
        <v>74</v>
      </c>
      <c r="S252" t="s">
        <v>74</v>
      </c>
      <c r="T252" t="s">
        <v>74</v>
      </c>
      <c r="U252" t="s">
        <v>3461</v>
      </c>
      <c r="V252" t="s">
        <v>3462</v>
      </c>
      <c r="W252" t="s">
        <v>3463</v>
      </c>
      <c r="X252" t="s">
        <v>3464</v>
      </c>
      <c r="Y252" t="s">
        <v>3465</v>
      </c>
      <c r="Z252" t="s">
        <v>3466</v>
      </c>
      <c r="AA252" t="s">
        <v>2448</v>
      </c>
      <c r="AB252" t="s">
        <v>74</v>
      </c>
      <c r="AC252" t="s">
        <v>74</v>
      </c>
      <c r="AD252" t="s">
        <v>74</v>
      </c>
      <c r="AE252" t="s">
        <v>74</v>
      </c>
      <c r="AF252" t="s">
        <v>74</v>
      </c>
      <c r="AG252">
        <v>36</v>
      </c>
      <c r="AH252">
        <v>55</v>
      </c>
      <c r="AI252">
        <v>61</v>
      </c>
      <c r="AJ252">
        <v>0</v>
      </c>
      <c r="AK252">
        <v>3</v>
      </c>
      <c r="AL252" t="s">
        <v>1842</v>
      </c>
      <c r="AM252" t="s">
        <v>1843</v>
      </c>
      <c r="AN252" t="s">
        <v>1844</v>
      </c>
      <c r="AO252" t="s">
        <v>3452</v>
      </c>
      <c r="AP252" t="s">
        <v>3453</v>
      </c>
      <c r="AQ252" t="s">
        <v>74</v>
      </c>
      <c r="AR252" t="s">
        <v>3454</v>
      </c>
      <c r="AS252" t="s">
        <v>3455</v>
      </c>
      <c r="AT252" t="s">
        <v>74</v>
      </c>
      <c r="AU252">
        <v>2001</v>
      </c>
      <c r="AV252">
        <v>129</v>
      </c>
      <c r="AW252">
        <v>8</v>
      </c>
      <c r="AX252" t="s">
        <v>74</v>
      </c>
      <c r="AY252" t="s">
        <v>74</v>
      </c>
      <c r="AZ252" t="s">
        <v>74</v>
      </c>
      <c r="BA252" t="s">
        <v>74</v>
      </c>
      <c r="BB252">
        <v>1905</v>
      </c>
      <c r="BC252">
        <v>1927</v>
      </c>
      <c r="BD252" t="s">
        <v>74</v>
      </c>
      <c r="BE252" t="s">
        <v>3467</v>
      </c>
      <c r="BF252" t="str">
        <f>HYPERLINK("http://dx.doi.org/10.1175/1520-0493(2001)129&lt;1905:AOAICO&gt;2.0.CO;2","http://dx.doi.org/10.1175/1520-0493(2001)129&lt;1905:AOAICO&gt;2.0.CO;2")</f>
        <v>http://dx.doi.org/10.1175/1520-0493(2001)129&lt;1905:AOAICO&gt;2.0.CO;2</v>
      </c>
      <c r="BG252" t="s">
        <v>74</v>
      </c>
      <c r="BH252" t="s">
        <v>74</v>
      </c>
      <c r="BI252">
        <v>23</v>
      </c>
      <c r="BJ252" t="s">
        <v>167</v>
      </c>
      <c r="BK252" t="s">
        <v>94</v>
      </c>
      <c r="BL252" t="s">
        <v>167</v>
      </c>
      <c r="BM252" t="s">
        <v>3468</v>
      </c>
      <c r="BN252" t="s">
        <v>74</v>
      </c>
      <c r="BO252" t="s">
        <v>1850</v>
      </c>
      <c r="BP252" t="s">
        <v>74</v>
      </c>
      <c r="BQ252" t="s">
        <v>74</v>
      </c>
      <c r="BR252" t="s">
        <v>97</v>
      </c>
      <c r="BS252" t="s">
        <v>3469</v>
      </c>
      <c r="BT252" t="str">
        <f>HYPERLINK("https%3A%2F%2Fwww.webofscience.com%2Fwos%2Fwoscc%2Ffull-record%2FWOS:000169996500007","View Full Record in Web of Science")</f>
        <v>View Full Record in Web of Science</v>
      </c>
    </row>
    <row r="253" spans="1:72" x14ac:dyDescent="0.15">
      <c r="A253" t="s">
        <v>72</v>
      </c>
      <c r="B253" t="s">
        <v>3470</v>
      </c>
      <c r="C253" t="s">
        <v>74</v>
      </c>
      <c r="D253" t="s">
        <v>74</v>
      </c>
      <c r="E253" t="s">
        <v>74</v>
      </c>
      <c r="F253" t="s">
        <v>3470</v>
      </c>
      <c r="G253" t="s">
        <v>74</v>
      </c>
      <c r="H253" t="s">
        <v>74</v>
      </c>
      <c r="I253" t="s">
        <v>3471</v>
      </c>
      <c r="J253" t="s">
        <v>3445</v>
      </c>
      <c r="K253" t="s">
        <v>74</v>
      </c>
      <c r="L253" t="s">
        <v>74</v>
      </c>
      <c r="M253" t="s">
        <v>77</v>
      </c>
      <c r="N253" t="s">
        <v>78</v>
      </c>
      <c r="O253" t="s">
        <v>74</v>
      </c>
      <c r="P253" t="s">
        <v>74</v>
      </c>
      <c r="Q253" t="s">
        <v>74</v>
      </c>
      <c r="R253" t="s">
        <v>74</v>
      </c>
      <c r="S253" t="s">
        <v>74</v>
      </c>
      <c r="T253" t="s">
        <v>74</v>
      </c>
      <c r="U253" t="s">
        <v>3472</v>
      </c>
      <c r="V253" t="s">
        <v>3473</v>
      </c>
      <c r="W253" t="s">
        <v>3474</v>
      </c>
      <c r="X253" t="s">
        <v>3475</v>
      </c>
      <c r="Y253" t="s">
        <v>3476</v>
      </c>
      <c r="Z253" t="s">
        <v>74</v>
      </c>
      <c r="AA253" t="s">
        <v>3477</v>
      </c>
      <c r="AB253" t="s">
        <v>3478</v>
      </c>
      <c r="AC253" t="s">
        <v>74</v>
      </c>
      <c r="AD253" t="s">
        <v>74</v>
      </c>
      <c r="AE253" t="s">
        <v>74</v>
      </c>
      <c r="AF253" t="s">
        <v>74</v>
      </c>
      <c r="AG253">
        <v>32</v>
      </c>
      <c r="AH253">
        <v>138</v>
      </c>
      <c r="AI253">
        <v>154</v>
      </c>
      <c r="AJ253">
        <v>0</v>
      </c>
      <c r="AK253">
        <v>15</v>
      </c>
      <c r="AL253" t="s">
        <v>1842</v>
      </c>
      <c r="AM253" t="s">
        <v>1843</v>
      </c>
      <c r="AN253" t="s">
        <v>1844</v>
      </c>
      <c r="AO253" t="s">
        <v>3452</v>
      </c>
      <c r="AP253" t="s">
        <v>74</v>
      </c>
      <c r="AQ253" t="s">
        <v>74</v>
      </c>
      <c r="AR253" t="s">
        <v>3454</v>
      </c>
      <c r="AS253" t="s">
        <v>3455</v>
      </c>
      <c r="AT253" t="s">
        <v>74</v>
      </c>
      <c r="AU253">
        <v>2001</v>
      </c>
      <c r="AV253">
        <v>129</v>
      </c>
      <c r="AW253">
        <v>9</v>
      </c>
      <c r="AX253" t="s">
        <v>74</v>
      </c>
      <c r="AY253" t="s">
        <v>74</v>
      </c>
      <c r="AZ253" t="s">
        <v>74</v>
      </c>
      <c r="BA253" t="s">
        <v>74</v>
      </c>
      <c r="BB253">
        <v>2290</v>
      </c>
      <c r="BC253">
        <v>2309</v>
      </c>
      <c r="BD253" t="s">
        <v>74</v>
      </c>
      <c r="BE253" t="s">
        <v>3479</v>
      </c>
      <c r="BF253" t="str">
        <f>HYPERLINK("http://dx.doi.org/10.1175/1520-0493(2001)129&lt;2290:MMOKWO&gt;2.0.CO;2","http://dx.doi.org/10.1175/1520-0493(2001)129&lt;2290:MMOKWO&gt;2.0.CO;2")</f>
        <v>http://dx.doi.org/10.1175/1520-0493(2001)129&lt;2290:MMOKWO&gt;2.0.CO;2</v>
      </c>
      <c r="BG253" t="s">
        <v>74</v>
      </c>
      <c r="BH253" t="s">
        <v>74</v>
      </c>
      <c r="BI253">
        <v>20</v>
      </c>
      <c r="BJ253" t="s">
        <v>167</v>
      </c>
      <c r="BK253" t="s">
        <v>94</v>
      </c>
      <c r="BL253" t="s">
        <v>167</v>
      </c>
      <c r="BM253" t="s">
        <v>3480</v>
      </c>
      <c r="BN253" t="s">
        <v>74</v>
      </c>
      <c r="BO253" t="s">
        <v>1755</v>
      </c>
      <c r="BP253" t="s">
        <v>74</v>
      </c>
      <c r="BQ253" t="s">
        <v>74</v>
      </c>
      <c r="BR253" t="s">
        <v>97</v>
      </c>
      <c r="BS253" t="s">
        <v>3481</v>
      </c>
      <c r="BT253" t="str">
        <f>HYPERLINK("https%3A%2F%2Fwww.webofscience.com%2Fwos%2Fwoscc%2Ffull-record%2FWOS:000170615400007","View Full Record in Web of Science")</f>
        <v>View Full Record in Web of Science</v>
      </c>
    </row>
    <row r="254" spans="1:72" x14ac:dyDescent="0.15">
      <c r="A254" t="s">
        <v>72</v>
      </c>
      <c r="B254" t="s">
        <v>3482</v>
      </c>
      <c r="C254" t="s">
        <v>74</v>
      </c>
      <c r="D254" t="s">
        <v>74</v>
      </c>
      <c r="E254" t="s">
        <v>74</v>
      </c>
      <c r="F254" t="s">
        <v>3482</v>
      </c>
      <c r="G254" t="s">
        <v>74</v>
      </c>
      <c r="H254" t="s">
        <v>74</v>
      </c>
      <c r="I254" t="s">
        <v>3483</v>
      </c>
      <c r="J254" t="s">
        <v>3445</v>
      </c>
      <c r="K254" t="s">
        <v>74</v>
      </c>
      <c r="L254" t="s">
        <v>74</v>
      </c>
      <c r="M254" t="s">
        <v>77</v>
      </c>
      <c r="N254" t="s">
        <v>78</v>
      </c>
      <c r="O254" t="s">
        <v>74</v>
      </c>
      <c r="P254" t="s">
        <v>74</v>
      </c>
      <c r="Q254" t="s">
        <v>74</v>
      </c>
      <c r="R254" t="s">
        <v>74</v>
      </c>
      <c r="S254" t="s">
        <v>74</v>
      </c>
      <c r="T254" t="s">
        <v>74</v>
      </c>
      <c r="U254" t="s">
        <v>3484</v>
      </c>
      <c r="V254" t="s">
        <v>3485</v>
      </c>
      <c r="W254" t="s">
        <v>3486</v>
      </c>
      <c r="X254" t="s">
        <v>1840</v>
      </c>
      <c r="Y254" t="s">
        <v>3487</v>
      </c>
      <c r="Z254" t="s">
        <v>3488</v>
      </c>
      <c r="AA254" t="s">
        <v>74</v>
      </c>
      <c r="AB254" t="s">
        <v>3489</v>
      </c>
      <c r="AC254" t="s">
        <v>74</v>
      </c>
      <c r="AD254" t="s">
        <v>74</v>
      </c>
      <c r="AE254" t="s">
        <v>74</v>
      </c>
      <c r="AF254" t="s">
        <v>74</v>
      </c>
      <c r="AG254">
        <v>35</v>
      </c>
      <c r="AH254">
        <v>0</v>
      </c>
      <c r="AI254">
        <v>0</v>
      </c>
      <c r="AJ254">
        <v>0</v>
      </c>
      <c r="AK254">
        <v>0</v>
      </c>
      <c r="AL254" t="s">
        <v>1842</v>
      </c>
      <c r="AM254" t="s">
        <v>1843</v>
      </c>
      <c r="AN254" t="s">
        <v>2011</v>
      </c>
      <c r="AO254" t="s">
        <v>3452</v>
      </c>
      <c r="AP254" t="s">
        <v>3453</v>
      </c>
      <c r="AQ254" t="s">
        <v>74</v>
      </c>
      <c r="AR254" t="s">
        <v>3454</v>
      </c>
      <c r="AS254" t="s">
        <v>3455</v>
      </c>
      <c r="AT254" t="s">
        <v>74</v>
      </c>
      <c r="AU254">
        <v>2001</v>
      </c>
      <c r="AV254">
        <v>129</v>
      </c>
      <c r="AW254">
        <v>9</v>
      </c>
      <c r="AX254" t="s">
        <v>74</v>
      </c>
      <c r="AY254" t="s">
        <v>74</v>
      </c>
      <c r="AZ254" t="s">
        <v>74</v>
      </c>
      <c r="BA254" t="s">
        <v>74</v>
      </c>
      <c r="BB254">
        <v>2377</v>
      </c>
      <c r="BC254">
        <v>2391</v>
      </c>
      <c r="BD254" t="s">
        <v>74</v>
      </c>
      <c r="BE254" t="s">
        <v>3490</v>
      </c>
      <c r="BF254" t="str">
        <f>HYPERLINK("http://dx.doi.org/10.1175/1520-0493(2001)129&lt;2377:SHMRFS&gt;2.0.CO;2","http://dx.doi.org/10.1175/1520-0493(2001)129&lt;2377:SHMRFS&gt;2.0.CO;2")</f>
        <v>http://dx.doi.org/10.1175/1520-0493(2001)129&lt;2377:SHMRFS&gt;2.0.CO;2</v>
      </c>
      <c r="BG254" t="s">
        <v>74</v>
      </c>
      <c r="BH254" t="s">
        <v>74</v>
      </c>
      <c r="BI254">
        <v>15</v>
      </c>
      <c r="BJ254" t="s">
        <v>167</v>
      </c>
      <c r="BK254" t="s">
        <v>94</v>
      </c>
      <c r="BL254" t="s">
        <v>167</v>
      </c>
      <c r="BM254" t="s">
        <v>3480</v>
      </c>
      <c r="BN254" t="s">
        <v>74</v>
      </c>
      <c r="BO254" t="s">
        <v>1850</v>
      </c>
      <c r="BP254" t="s">
        <v>74</v>
      </c>
      <c r="BQ254" t="s">
        <v>74</v>
      </c>
      <c r="BR254" t="s">
        <v>97</v>
      </c>
      <c r="BS254" t="s">
        <v>3491</v>
      </c>
      <c r="BT254" t="str">
        <f>HYPERLINK("https%3A%2F%2Fwww.webofscience.com%2Fwos%2Fwoscc%2Ffull-record%2FWOS:000170615400012","View Full Record in Web of Science")</f>
        <v>View Full Record in Web of Science</v>
      </c>
    </row>
    <row r="255" spans="1:72" x14ac:dyDescent="0.15">
      <c r="A255" t="s">
        <v>72</v>
      </c>
      <c r="B255" t="s">
        <v>3492</v>
      </c>
      <c r="C255" t="s">
        <v>74</v>
      </c>
      <c r="D255" t="s">
        <v>74</v>
      </c>
      <c r="E255" t="s">
        <v>74</v>
      </c>
      <c r="F255" t="s">
        <v>3492</v>
      </c>
      <c r="G255" t="s">
        <v>74</v>
      </c>
      <c r="H255" t="s">
        <v>74</v>
      </c>
      <c r="I255" t="s">
        <v>3493</v>
      </c>
      <c r="J255" t="s">
        <v>3494</v>
      </c>
      <c r="K255" t="s">
        <v>74</v>
      </c>
      <c r="L255" t="s">
        <v>74</v>
      </c>
      <c r="M255" t="s">
        <v>77</v>
      </c>
      <c r="N255" t="s">
        <v>78</v>
      </c>
      <c r="O255" t="s">
        <v>74</v>
      </c>
      <c r="P255" t="s">
        <v>74</v>
      </c>
      <c r="Q255" t="s">
        <v>74</v>
      </c>
      <c r="R255" t="s">
        <v>74</v>
      </c>
      <c r="S255" t="s">
        <v>74</v>
      </c>
      <c r="T255" t="s">
        <v>74</v>
      </c>
      <c r="U255" t="s">
        <v>3495</v>
      </c>
      <c r="V255" t="s">
        <v>3496</v>
      </c>
      <c r="W255" t="s">
        <v>3497</v>
      </c>
      <c r="X255" t="s">
        <v>3498</v>
      </c>
      <c r="Y255" t="s">
        <v>3499</v>
      </c>
      <c r="Z255" t="s">
        <v>74</v>
      </c>
      <c r="AA255" t="s">
        <v>74</v>
      </c>
      <c r="AB255" t="s">
        <v>74</v>
      </c>
      <c r="AC255" t="s">
        <v>74</v>
      </c>
      <c r="AD255" t="s">
        <v>74</v>
      </c>
      <c r="AE255" t="s">
        <v>74</v>
      </c>
      <c r="AF255" t="s">
        <v>74</v>
      </c>
      <c r="AG255">
        <v>24</v>
      </c>
      <c r="AH255">
        <v>18</v>
      </c>
      <c r="AI255">
        <v>18</v>
      </c>
      <c r="AJ255">
        <v>0</v>
      </c>
      <c r="AK255">
        <v>14</v>
      </c>
      <c r="AL255" t="s">
        <v>3500</v>
      </c>
      <c r="AM255" t="s">
        <v>3501</v>
      </c>
      <c r="AN255" t="s">
        <v>3502</v>
      </c>
      <c r="AO255" t="s">
        <v>3503</v>
      </c>
      <c r="AP255" t="s">
        <v>74</v>
      </c>
      <c r="AQ255" t="s">
        <v>74</v>
      </c>
      <c r="AR255" t="s">
        <v>3504</v>
      </c>
      <c r="AS255" t="s">
        <v>3505</v>
      </c>
      <c r="AT255" t="s">
        <v>91</v>
      </c>
      <c r="AU255">
        <v>2001</v>
      </c>
      <c r="AV255">
        <v>63</v>
      </c>
      <c r="AW255">
        <v>1</v>
      </c>
      <c r="AX255" t="s">
        <v>74</v>
      </c>
      <c r="AY255" t="s">
        <v>74</v>
      </c>
      <c r="AZ255" t="s">
        <v>74</v>
      </c>
      <c r="BA255" t="s">
        <v>74</v>
      </c>
      <c r="BB255">
        <v>52</v>
      </c>
      <c r="BC255">
        <v>57</v>
      </c>
      <c r="BD255" t="s">
        <v>74</v>
      </c>
      <c r="BE255" t="s">
        <v>3506</v>
      </c>
      <c r="BF255" t="str">
        <f>HYPERLINK("http://dx.doi.org/10.1577/1548-8454(2001)063&lt;0052:PACOFO&gt;2.0.CO;2","http://dx.doi.org/10.1577/1548-8454(2001)063&lt;0052:PACOFO&gt;2.0.CO;2")</f>
        <v>http://dx.doi.org/10.1577/1548-8454(2001)063&lt;0052:PACOFO&gt;2.0.CO;2</v>
      </c>
      <c r="BG255" t="s">
        <v>74</v>
      </c>
      <c r="BH255" t="s">
        <v>74</v>
      </c>
      <c r="BI255">
        <v>6</v>
      </c>
      <c r="BJ255" t="s">
        <v>3507</v>
      </c>
      <c r="BK255" t="s">
        <v>94</v>
      </c>
      <c r="BL255" t="s">
        <v>3507</v>
      </c>
      <c r="BM255" t="s">
        <v>3508</v>
      </c>
      <c r="BN255" t="s">
        <v>74</v>
      </c>
      <c r="BO255" t="s">
        <v>74</v>
      </c>
      <c r="BP255" t="s">
        <v>74</v>
      </c>
      <c r="BQ255" t="s">
        <v>74</v>
      </c>
      <c r="BR255" t="s">
        <v>97</v>
      </c>
      <c r="BS255" t="s">
        <v>3509</v>
      </c>
      <c r="BT255" t="str">
        <f>HYPERLINK("https%3A%2F%2Fwww.webofscience.com%2Fwos%2Fwoscc%2Ffull-record%2FWOS:000167944700009","View Full Record in Web of Science")</f>
        <v>View Full Record in Web of Science</v>
      </c>
    </row>
    <row r="256" spans="1:72" x14ac:dyDescent="0.15">
      <c r="A256" t="s">
        <v>209</v>
      </c>
      <c r="B256" t="s">
        <v>3510</v>
      </c>
      <c r="C256" t="s">
        <v>74</v>
      </c>
      <c r="D256" t="s">
        <v>3511</v>
      </c>
      <c r="E256" t="s">
        <v>74</v>
      </c>
      <c r="F256" t="s">
        <v>3510</v>
      </c>
      <c r="G256" t="s">
        <v>74</v>
      </c>
      <c r="H256" t="s">
        <v>74</v>
      </c>
      <c r="I256" t="s">
        <v>3512</v>
      </c>
      <c r="J256" t="s">
        <v>3513</v>
      </c>
      <c r="K256" t="s">
        <v>3514</v>
      </c>
      <c r="L256" t="s">
        <v>74</v>
      </c>
      <c r="M256" t="s">
        <v>77</v>
      </c>
      <c r="N256" t="s">
        <v>214</v>
      </c>
      <c r="O256" t="s">
        <v>3515</v>
      </c>
      <c r="P256" t="s">
        <v>3516</v>
      </c>
      <c r="Q256" t="s">
        <v>3517</v>
      </c>
      <c r="R256" t="s">
        <v>74</v>
      </c>
      <c r="S256" t="s">
        <v>74</v>
      </c>
      <c r="T256" t="s">
        <v>3518</v>
      </c>
      <c r="U256" t="s">
        <v>3519</v>
      </c>
      <c r="V256" t="s">
        <v>3520</v>
      </c>
      <c r="W256" t="s">
        <v>3521</v>
      </c>
      <c r="X256" t="s">
        <v>3522</v>
      </c>
      <c r="Y256" t="s">
        <v>3523</v>
      </c>
      <c r="Z256" t="s">
        <v>74</v>
      </c>
      <c r="AA256" t="s">
        <v>74</v>
      </c>
      <c r="AB256" t="s">
        <v>74</v>
      </c>
      <c r="AC256" t="s">
        <v>74</v>
      </c>
      <c r="AD256" t="s">
        <v>74</v>
      </c>
      <c r="AE256" t="s">
        <v>74</v>
      </c>
      <c r="AF256" t="s">
        <v>74</v>
      </c>
      <c r="AG256">
        <v>19</v>
      </c>
      <c r="AH256">
        <v>1</v>
      </c>
      <c r="AI256">
        <v>1</v>
      </c>
      <c r="AJ256">
        <v>0</v>
      </c>
      <c r="AK256">
        <v>1</v>
      </c>
      <c r="AL256" t="s">
        <v>3524</v>
      </c>
      <c r="AM256" t="s">
        <v>3525</v>
      </c>
      <c r="AN256" t="s">
        <v>3526</v>
      </c>
      <c r="AO256" t="s">
        <v>3527</v>
      </c>
      <c r="AP256" t="s">
        <v>74</v>
      </c>
      <c r="AQ256" t="s">
        <v>3528</v>
      </c>
      <c r="AR256" t="s">
        <v>3529</v>
      </c>
      <c r="AS256" t="s">
        <v>74</v>
      </c>
      <c r="AT256" t="s">
        <v>74</v>
      </c>
      <c r="AU256">
        <v>2001</v>
      </c>
      <c r="AV256">
        <v>33</v>
      </c>
      <c r="AW256" t="s">
        <v>74</v>
      </c>
      <c r="AX256" t="s">
        <v>74</v>
      </c>
      <c r="AY256" t="s">
        <v>74</v>
      </c>
      <c r="AZ256" t="s">
        <v>74</v>
      </c>
      <c r="BA256" t="s">
        <v>74</v>
      </c>
      <c r="BB256">
        <v>220</v>
      </c>
      <c r="BC256">
        <v>224</v>
      </c>
      <c r="BD256" t="s">
        <v>74</v>
      </c>
      <c r="BE256" t="s">
        <v>74</v>
      </c>
      <c r="BF256" t="s">
        <v>74</v>
      </c>
      <c r="BG256" t="s">
        <v>74</v>
      </c>
      <c r="BH256" t="s">
        <v>74</v>
      </c>
      <c r="BI256">
        <v>5</v>
      </c>
      <c r="BJ256" t="s">
        <v>3530</v>
      </c>
      <c r="BK256" t="s">
        <v>229</v>
      </c>
      <c r="BL256" t="s">
        <v>1156</v>
      </c>
      <c r="BM256" t="s">
        <v>3531</v>
      </c>
      <c r="BN256" t="s">
        <v>74</v>
      </c>
      <c r="BO256" t="s">
        <v>74</v>
      </c>
      <c r="BP256" t="s">
        <v>74</v>
      </c>
      <c r="BQ256" t="s">
        <v>74</v>
      </c>
      <c r="BR256" t="s">
        <v>97</v>
      </c>
      <c r="BS256" t="s">
        <v>3532</v>
      </c>
      <c r="BT256" t="str">
        <f>HYPERLINK("https%3A%2F%2Fwww.webofscience.com%2Fwos%2Fwoscc%2Ffull-record%2FWOS:000173975600051","View Full Record in Web of Science")</f>
        <v>View Full Record in Web of Science</v>
      </c>
    </row>
    <row r="257" spans="1:72" x14ac:dyDescent="0.15">
      <c r="A257" t="s">
        <v>72</v>
      </c>
      <c r="B257" t="s">
        <v>3533</v>
      </c>
      <c r="C257" t="s">
        <v>74</v>
      </c>
      <c r="D257" t="s">
        <v>74</v>
      </c>
      <c r="E257" t="s">
        <v>74</v>
      </c>
      <c r="F257" t="s">
        <v>3534</v>
      </c>
      <c r="G257" t="s">
        <v>74</v>
      </c>
      <c r="H257" t="s">
        <v>74</v>
      </c>
      <c r="I257" t="s">
        <v>3535</v>
      </c>
      <c r="J257" t="s">
        <v>3536</v>
      </c>
      <c r="K257" t="s">
        <v>74</v>
      </c>
      <c r="L257" t="s">
        <v>74</v>
      </c>
      <c r="M257" t="s">
        <v>77</v>
      </c>
      <c r="N257" t="s">
        <v>78</v>
      </c>
      <c r="O257" t="s">
        <v>74</v>
      </c>
      <c r="P257" t="s">
        <v>74</v>
      </c>
      <c r="Q257" t="s">
        <v>74</v>
      </c>
      <c r="R257" t="s">
        <v>74</v>
      </c>
      <c r="S257" t="s">
        <v>74</v>
      </c>
      <c r="T257" t="s">
        <v>3537</v>
      </c>
      <c r="U257" t="s">
        <v>3538</v>
      </c>
      <c r="V257" t="s">
        <v>3539</v>
      </c>
      <c r="W257" t="s">
        <v>3540</v>
      </c>
      <c r="X257" t="s">
        <v>3541</v>
      </c>
      <c r="Y257" t="s">
        <v>3542</v>
      </c>
      <c r="Z257" t="s">
        <v>3543</v>
      </c>
      <c r="AA257" t="s">
        <v>74</v>
      </c>
      <c r="AB257" t="s">
        <v>74</v>
      </c>
      <c r="AC257" t="s">
        <v>3544</v>
      </c>
      <c r="AD257" t="s">
        <v>3545</v>
      </c>
      <c r="AE257" t="s">
        <v>3546</v>
      </c>
      <c r="AF257" t="s">
        <v>74</v>
      </c>
      <c r="AG257">
        <v>36</v>
      </c>
      <c r="AH257">
        <v>20</v>
      </c>
      <c r="AI257">
        <v>20</v>
      </c>
      <c r="AJ257">
        <v>1</v>
      </c>
      <c r="AK257">
        <v>10</v>
      </c>
      <c r="AL257" t="s">
        <v>758</v>
      </c>
      <c r="AM257" t="s">
        <v>246</v>
      </c>
      <c r="AN257" t="s">
        <v>759</v>
      </c>
      <c r="AO257" t="s">
        <v>3547</v>
      </c>
      <c r="AP257" t="s">
        <v>3548</v>
      </c>
      <c r="AQ257" t="s">
        <v>74</v>
      </c>
      <c r="AR257" t="s">
        <v>3549</v>
      </c>
      <c r="AS257" t="s">
        <v>3550</v>
      </c>
      <c r="AT257" t="s">
        <v>74</v>
      </c>
      <c r="AU257">
        <v>2001</v>
      </c>
      <c r="AV257">
        <v>3</v>
      </c>
      <c r="AW257" t="s">
        <v>870</v>
      </c>
      <c r="AX257" t="s">
        <v>74</v>
      </c>
      <c r="AY257" t="s">
        <v>74</v>
      </c>
      <c r="AZ257" t="s">
        <v>74</v>
      </c>
      <c r="BA257" t="s">
        <v>74</v>
      </c>
      <c r="BB257">
        <v>51</v>
      </c>
      <c r="BC257">
        <v>65</v>
      </c>
      <c r="BD257" t="s">
        <v>3551</v>
      </c>
      <c r="BE257" t="s">
        <v>3552</v>
      </c>
      <c r="BF257" t="str">
        <f>HYPERLINK("http://dx.doi.org/10.1016/S1463-5003(00)00017-2","http://dx.doi.org/10.1016/S1463-5003(00)00017-2")</f>
        <v>http://dx.doi.org/10.1016/S1463-5003(00)00017-2</v>
      </c>
      <c r="BG257" t="s">
        <v>74</v>
      </c>
      <c r="BH257" t="s">
        <v>74</v>
      </c>
      <c r="BI257">
        <v>15</v>
      </c>
      <c r="BJ257" t="s">
        <v>1769</v>
      </c>
      <c r="BK257" t="s">
        <v>94</v>
      </c>
      <c r="BL257" t="s">
        <v>1769</v>
      </c>
      <c r="BM257" t="s">
        <v>3553</v>
      </c>
      <c r="BN257" t="s">
        <v>74</v>
      </c>
      <c r="BO257" t="s">
        <v>74</v>
      </c>
      <c r="BP257" t="s">
        <v>74</v>
      </c>
      <c r="BQ257" t="s">
        <v>74</v>
      </c>
      <c r="BR257" t="s">
        <v>97</v>
      </c>
      <c r="BS257" t="s">
        <v>3554</v>
      </c>
      <c r="BT257" t="str">
        <f>HYPERLINK("https%3A%2F%2Fwww.webofscience.com%2Fwos%2Fwoscc%2Ffull-record%2FWOS:000208277600004","View Full Record in Web of Science")</f>
        <v>View Full Record in Web of Science</v>
      </c>
    </row>
    <row r="258" spans="1:72" x14ac:dyDescent="0.15">
      <c r="A258" t="s">
        <v>72</v>
      </c>
      <c r="B258" t="s">
        <v>3555</v>
      </c>
      <c r="C258" t="s">
        <v>74</v>
      </c>
      <c r="D258" t="s">
        <v>74</v>
      </c>
      <c r="E258" t="s">
        <v>74</v>
      </c>
      <c r="F258" t="s">
        <v>3556</v>
      </c>
      <c r="G258" t="s">
        <v>74</v>
      </c>
      <c r="H258" t="s">
        <v>74</v>
      </c>
      <c r="I258" t="s">
        <v>3557</v>
      </c>
      <c r="J258" t="s">
        <v>3536</v>
      </c>
      <c r="K258" t="s">
        <v>74</v>
      </c>
      <c r="L258" t="s">
        <v>74</v>
      </c>
      <c r="M258" t="s">
        <v>77</v>
      </c>
      <c r="N258" t="s">
        <v>78</v>
      </c>
      <c r="O258" t="s">
        <v>74</v>
      </c>
      <c r="P258" t="s">
        <v>74</v>
      </c>
      <c r="Q258" t="s">
        <v>74</v>
      </c>
      <c r="R258" t="s">
        <v>74</v>
      </c>
      <c r="S258" t="s">
        <v>74</v>
      </c>
      <c r="T258" t="s">
        <v>3558</v>
      </c>
      <c r="U258" t="s">
        <v>3559</v>
      </c>
      <c r="V258" t="s">
        <v>3560</v>
      </c>
      <c r="W258" t="s">
        <v>3561</v>
      </c>
      <c r="X258" t="s">
        <v>1442</v>
      </c>
      <c r="Y258" t="s">
        <v>3562</v>
      </c>
      <c r="Z258" t="s">
        <v>3563</v>
      </c>
      <c r="AA258" t="s">
        <v>3564</v>
      </c>
      <c r="AB258" t="s">
        <v>3565</v>
      </c>
      <c r="AC258" t="s">
        <v>3566</v>
      </c>
      <c r="AD258" t="s">
        <v>3566</v>
      </c>
      <c r="AE258" t="s">
        <v>3567</v>
      </c>
      <c r="AF258" t="s">
        <v>74</v>
      </c>
      <c r="AG258">
        <v>52</v>
      </c>
      <c r="AH258">
        <v>11</v>
      </c>
      <c r="AI258">
        <v>14</v>
      </c>
      <c r="AJ258">
        <v>0</v>
      </c>
      <c r="AK258">
        <v>7</v>
      </c>
      <c r="AL258" t="s">
        <v>758</v>
      </c>
      <c r="AM258" t="s">
        <v>246</v>
      </c>
      <c r="AN258" t="s">
        <v>759</v>
      </c>
      <c r="AO258" t="s">
        <v>3547</v>
      </c>
      <c r="AP258" t="s">
        <v>3548</v>
      </c>
      <c r="AQ258" t="s">
        <v>74</v>
      </c>
      <c r="AR258" t="s">
        <v>3549</v>
      </c>
      <c r="AS258" t="s">
        <v>3550</v>
      </c>
      <c r="AT258" t="s">
        <v>74</v>
      </c>
      <c r="AU258">
        <v>2001</v>
      </c>
      <c r="AV258">
        <v>3</v>
      </c>
      <c r="AW258" t="s">
        <v>1046</v>
      </c>
      <c r="AX258" t="s">
        <v>74</v>
      </c>
      <c r="AY258" t="s">
        <v>74</v>
      </c>
      <c r="AZ258" t="s">
        <v>74</v>
      </c>
      <c r="BA258" t="s">
        <v>74</v>
      </c>
      <c r="BB258">
        <v>217</v>
      </c>
      <c r="BC258">
        <v>248</v>
      </c>
      <c r="BD258" t="s">
        <v>3568</v>
      </c>
      <c r="BE258" t="s">
        <v>3569</v>
      </c>
      <c r="BF258" t="str">
        <f>HYPERLINK("http://dx.doi.org/10.1016/S1463-5003(01)00010-5","http://dx.doi.org/10.1016/S1463-5003(01)00010-5")</f>
        <v>http://dx.doi.org/10.1016/S1463-5003(01)00010-5</v>
      </c>
      <c r="BG258" t="s">
        <v>74</v>
      </c>
      <c r="BH258" t="s">
        <v>74</v>
      </c>
      <c r="BI258">
        <v>32</v>
      </c>
      <c r="BJ258" t="s">
        <v>1769</v>
      </c>
      <c r="BK258" t="s">
        <v>94</v>
      </c>
      <c r="BL258" t="s">
        <v>1769</v>
      </c>
      <c r="BM258" t="s">
        <v>3570</v>
      </c>
      <c r="BN258" t="s">
        <v>74</v>
      </c>
      <c r="BO258" t="s">
        <v>74</v>
      </c>
      <c r="BP258" t="s">
        <v>74</v>
      </c>
      <c r="BQ258" t="s">
        <v>74</v>
      </c>
      <c r="BR258" t="s">
        <v>97</v>
      </c>
      <c r="BS258" t="s">
        <v>3571</v>
      </c>
      <c r="BT258" t="str">
        <f>HYPERLINK("https%3A%2F%2Fwww.webofscience.com%2Fwos%2Fwoscc%2Ffull-record%2FWOS:000208277700004","View Full Record in Web of Science")</f>
        <v>View Full Record in Web of Science</v>
      </c>
    </row>
    <row r="259" spans="1:72" x14ac:dyDescent="0.15">
      <c r="A259" t="s">
        <v>72</v>
      </c>
      <c r="B259" t="s">
        <v>3572</v>
      </c>
      <c r="C259" t="s">
        <v>74</v>
      </c>
      <c r="D259" t="s">
        <v>74</v>
      </c>
      <c r="E259" t="s">
        <v>74</v>
      </c>
      <c r="F259" t="s">
        <v>3572</v>
      </c>
      <c r="G259" t="s">
        <v>74</v>
      </c>
      <c r="H259" t="s">
        <v>74</v>
      </c>
      <c r="I259" t="s">
        <v>3573</v>
      </c>
      <c r="J259" t="s">
        <v>3574</v>
      </c>
      <c r="K259" t="s">
        <v>74</v>
      </c>
      <c r="L259" t="s">
        <v>74</v>
      </c>
      <c r="M259" t="s">
        <v>77</v>
      </c>
      <c r="N259" t="s">
        <v>78</v>
      </c>
      <c r="O259" t="s">
        <v>74</v>
      </c>
      <c r="P259" t="s">
        <v>74</v>
      </c>
      <c r="Q259" t="s">
        <v>74</v>
      </c>
      <c r="R259" t="s">
        <v>74</v>
      </c>
      <c r="S259" t="s">
        <v>74</v>
      </c>
      <c r="T259" t="s">
        <v>3575</v>
      </c>
      <c r="U259" t="s">
        <v>3576</v>
      </c>
      <c r="V259" t="s">
        <v>3577</v>
      </c>
      <c r="W259" t="s">
        <v>3578</v>
      </c>
      <c r="X259" t="s">
        <v>3579</v>
      </c>
      <c r="Y259" t="s">
        <v>3580</v>
      </c>
      <c r="Z259" t="s">
        <v>74</v>
      </c>
      <c r="AA259" t="s">
        <v>74</v>
      </c>
      <c r="AB259" t="s">
        <v>74</v>
      </c>
      <c r="AC259" t="s">
        <v>74</v>
      </c>
      <c r="AD259" t="s">
        <v>74</v>
      </c>
      <c r="AE259" t="s">
        <v>74</v>
      </c>
      <c r="AF259" t="s">
        <v>74</v>
      </c>
      <c r="AG259">
        <v>43</v>
      </c>
      <c r="AH259">
        <v>44</v>
      </c>
      <c r="AI259">
        <v>44</v>
      </c>
      <c r="AJ259">
        <v>1</v>
      </c>
      <c r="AK259">
        <v>9</v>
      </c>
      <c r="AL259" t="s">
        <v>3581</v>
      </c>
      <c r="AM259" t="s">
        <v>182</v>
      </c>
      <c r="AN259" t="s">
        <v>3582</v>
      </c>
      <c r="AO259" t="s">
        <v>3583</v>
      </c>
      <c r="AP259" t="s">
        <v>74</v>
      </c>
      <c r="AQ259" t="s">
        <v>74</v>
      </c>
      <c r="AR259" t="s">
        <v>3584</v>
      </c>
      <c r="AS259" t="s">
        <v>3585</v>
      </c>
      <c r="AT259" t="s">
        <v>74</v>
      </c>
      <c r="AU259">
        <v>2001</v>
      </c>
      <c r="AV259">
        <v>24</v>
      </c>
      <c r="AW259" t="s">
        <v>74</v>
      </c>
      <c r="AX259" t="s">
        <v>74</v>
      </c>
      <c r="AY259" t="s">
        <v>1106</v>
      </c>
      <c r="AZ259" t="s">
        <v>74</v>
      </c>
      <c r="BA259" t="s">
        <v>74</v>
      </c>
      <c r="BB259" t="s">
        <v>3586</v>
      </c>
      <c r="BC259" t="s">
        <v>3587</v>
      </c>
      <c r="BD259" t="s">
        <v>74</v>
      </c>
      <c r="BE259" t="s">
        <v>74</v>
      </c>
      <c r="BF259" t="s">
        <v>74</v>
      </c>
      <c r="BG259" t="s">
        <v>74</v>
      </c>
      <c r="BH259" t="s">
        <v>74</v>
      </c>
      <c r="BI259">
        <v>9</v>
      </c>
      <c r="BJ259" t="s">
        <v>252</v>
      </c>
      <c r="BK259" t="s">
        <v>94</v>
      </c>
      <c r="BL259" t="s">
        <v>252</v>
      </c>
      <c r="BM259" t="s">
        <v>3588</v>
      </c>
      <c r="BN259" t="s">
        <v>74</v>
      </c>
      <c r="BO259" t="s">
        <v>74</v>
      </c>
      <c r="BP259" t="s">
        <v>74</v>
      </c>
      <c r="BQ259" t="s">
        <v>74</v>
      </c>
      <c r="BR259" t="s">
        <v>97</v>
      </c>
      <c r="BS259" t="s">
        <v>3589</v>
      </c>
      <c r="BT259" t="str">
        <f>HYPERLINK("https%3A%2F%2Fwww.webofscience.com%2Fwos%2Fwoscc%2Ffull-record%2FWOS:000167333600007","View Full Record in Web of Science")</f>
        <v>View Full Record in Web of Science</v>
      </c>
    </row>
    <row r="260" spans="1:72" x14ac:dyDescent="0.15">
      <c r="A260" t="s">
        <v>209</v>
      </c>
      <c r="B260" t="s">
        <v>3590</v>
      </c>
      <c r="C260" t="s">
        <v>74</v>
      </c>
      <c r="D260" t="s">
        <v>74</v>
      </c>
      <c r="E260" t="s">
        <v>3591</v>
      </c>
      <c r="F260" t="s">
        <v>3590</v>
      </c>
      <c r="G260" t="s">
        <v>74</v>
      </c>
      <c r="H260" t="s">
        <v>74</v>
      </c>
      <c r="I260" t="s">
        <v>3592</v>
      </c>
      <c r="J260" t="s">
        <v>3593</v>
      </c>
      <c r="K260" t="s">
        <v>74</v>
      </c>
      <c r="L260" t="s">
        <v>74</v>
      </c>
      <c r="M260" t="s">
        <v>77</v>
      </c>
      <c r="N260" t="s">
        <v>214</v>
      </c>
      <c r="O260" t="s">
        <v>3594</v>
      </c>
      <c r="P260" t="s">
        <v>3595</v>
      </c>
      <c r="Q260" t="s">
        <v>3596</v>
      </c>
      <c r="R260" t="s">
        <v>74</v>
      </c>
      <c r="S260" t="s">
        <v>74</v>
      </c>
      <c r="T260" t="s">
        <v>74</v>
      </c>
      <c r="U260" t="s">
        <v>74</v>
      </c>
      <c r="V260" t="s">
        <v>3597</v>
      </c>
      <c r="W260" t="s">
        <v>74</v>
      </c>
      <c r="X260" t="s">
        <v>74</v>
      </c>
      <c r="Y260" t="s">
        <v>74</v>
      </c>
      <c r="Z260" t="s">
        <v>74</v>
      </c>
      <c r="AA260" t="s">
        <v>74</v>
      </c>
      <c r="AB260" t="s">
        <v>74</v>
      </c>
      <c r="AC260" t="s">
        <v>74</v>
      </c>
      <c r="AD260" t="s">
        <v>74</v>
      </c>
      <c r="AE260" t="s">
        <v>74</v>
      </c>
      <c r="AF260" t="s">
        <v>74</v>
      </c>
      <c r="AG260">
        <v>4</v>
      </c>
      <c r="AH260">
        <v>2</v>
      </c>
      <c r="AI260">
        <v>2</v>
      </c>
      <c r="AJ260">
        <v>0</v>
      </c>
      <c r="AK260">
        <v>1</v>
      </c>
      <c r="AL260" t="s">
        <v>3598</v>
      </c>
      <c r="AM260" t="s">
        <v>1060</v>
      </c>
      <c r="AN260" t="s">
        <v>3599</v>
      </c>
      <c r="AO260" t="s">
        <v>74</v>
      </c>
      <c r="AP260" t="s">
        <v>74</v>
      </c>
      <c r="AQ260" t="s">
        <v>3600</v>
      </c>
      <c r="AR260" t="s">
        <v>74</v>
      </c>
      <c r="AS260" t="s">
        <v>74</v>
      </c>
      <c r="AT260" t="s">
        <v>74</v>
      </c>
      <c r="AU260">
        <v>2001</v>
      </c>
      <c r="AV260" t="s">
        <v>74</v>
      </c>
      <c r="AW260" t="s">
        <v>74</v>
      </c>
      <c r="AX260" t="s">
        <v>74</v>
      </c>
      <c r="AY260" t="s">
        <v>74</v>
      </c>
      <c r="AZ260" t="s">
        <v>74</v>
      </c>
      <c r="BA260" t="s">
        <v>74</v>
      </c>
      <c r="BB260">
        <v>1248</v>
      </c>
      <c r="BC260">
        <v>1256</v>
      </c>
      <c r="BD260" t="s">
        <v>74</v>
      </c>
      <c r="BE260" t="s">
        <v>74</v>
      </c>
      <c r="BF260" t="s">
        <v>74</v>
      </c>
      <c r="BG260" t="s">
        <v>74</v>
      </c>
      <c r="BH260" t="s">
        <v>74</v>
      </c>
      <c r="BI260">
        <v>9</v>
      </c>
      <c r="BJ260" t="s">
        <v>3601</v>
      </c>
      <c r="BK260" t="s">
        <v>229</v>
      </c>
      <c r="BL260" t="s">
        <v>3602</v>
      </c>
      <c r="BM260" t="s">
        <v>3603</v>
      </c>
      <c r="BN260" t="s">
        <v>74</v>
      </c>
      <c r="BO260" t="s">
        <v>74</v>
      </c>
      <c r="BP260" t="s">
        <v>74</v>
      </c>
      <c r="BQ260" t="s">
        <v>74</v>
      </c>
      <c r="BR260" t="s">
        <v>97</v>
      </c>
      <c r="BS260" t="s">
        <v>3604</v>
      </c>
      <c r="BT260" t="str">
        <f>HYPERLINK("https%3A%2F%2Fwww.webofscience.com%2Fwos%2Fwoscc%2Ffull-record%2FWOS:000178200800194","View Full Record in Web of Science")</f>
        <v>View Full Record in Web of Science</v>
      </c>
    </row>
    <row r="261" spans="1:72" x14ac:dyDescent="0.15">
      <c r="A261" t="s">
        <v>209</v>
      </c>
      <c r="B261" t="s">
        <v>3605</v>
      </c>
      <c r="C261" t="s">
        <v>74</v>
      </c>
      <c r="D261" t="s">
        <v>74</v>
      </c>
      <c r="E261" t="s">
        <v>3591</v>
      </c>
      <c r="F261" t="s">
        <v>3605</v>
      </c>
      <c r="G261" t="s">
        <v>74</v>
      </c>
      <c r="H261" t="s">
        <v>74</v>
      </c>
      <c r="I261" t="s">
        <v>3606</v>
      </c>
      <c r="J261" t="s">
        <v>3593</v>
      </c>
      <c r="K261" t="s">
        <v>74</v>
      </c>
      <c r="L261" t="s">
        <v>74</v>
      </c>
      <c r="M261" t="s">
        <v>77</v>
      </c>
      <c r="N261" t="s">
        <v>214</v>
      </c>
      <c r="O261" t="s">
        <v>3594</v>
      </c>
      <c r="P261" t="s">
        <v>3595</v>
      </c>
      <c r="Q261" t="s">
        <v>3596</v>
      </c>
      <c r="R261" t="s">
        <v>74</v>
      </c>
      <c r="S261" t="s">
        <v>74</v>
      </c>
      <c r="T261" t="s">
        <v>74</v>
      </c>
      <c r="U261" t="s">
        <v>74</v>
      </c>
      <c r="V261" t="s">
        <v>3607</v>
      </c>
      <c r="W261" t="s">
        <v>3608</v>
      </c>
      <c r="X261" t="s">
        <v>3609</v>
      </c>
      <c r="Y261" t="s">
        <v>3610</v>
      </c>
      <c r="Z261" t="s">
        <v>74</v>
      </c>
      <c r="AA261" t="s">
        <v>74</v>
      </c>
      <c r="AB261" t="s">
        <v>74</v>
      </c>
      <c r="AC261" t="s">
        <v>74</v>
      </c>
      <c r="AD261" t="s">
        <v>74</v>
      </c>
      <c r="AE261" t="s">
        <v>74</v>
      </c>
      <c r="AF261" t="s">
        <v>74</v>
      </c>
      <c r="AG261">
        <v>11</v>
      </c>
      <c r="AH261">
        <v>6</v>
      </c>
      <c r="AI261">
        <v>6</v>
      </c>
      <c r="AJ261">
        <v>0</v>
      </c>
      <c r="AK261">
        <v>4</v>
      </c>
      <c r="AL261" t="s">
        <v>3598</v>
      </c>
      <c r="AM261" t="s">
        <v>1060</v>
      </c>
      <c r="AN261" t="s">
        <v>3599</v>
      </c>
      <c r="AO261" t="s">
        <v>74</v>
      </c>
      <c r="AP261" t="s">
        <v>74</v>
      </c>
      <c r="AQ261" t="s">
        <v>3600</v>
      </c>
      <c r="AR261" t="s">
        <v>74</v>
      </c>
      <c r="AS261" t="s">
        <v>74</v>
      </c>
      <c r="AT261" t="s">
        <v>74</v>
      </c>
      <c r="AU261">
        <v>2001</v>
      </c>
      <c r="AV261" t="s">
        <v>74</v>
      </c>
      <c r="AW261" t="s">
        <v>74</v>
      </c>
      <c r="AX261" t="s">
        <v>74</v>
      </c>
      <c r="AY261" t="s">
        <v>74</v>
      </c>
      <c r="AZ261" t="s">
        <v>74</v>
      </c>
      <c r="BA261" t="s">
        <v>74</v>
      </c>
      <c r="BB261">
        <v>1504</v>
      </c>
      <c r="BC261">
        <v>1512</v>
      </c>
      <c r="BD261" t="s">
        <v>74</v>
      </c>
      <c r="BE261" t="s">
        <v>74</v>
      </c>
      <c r="BF261" t="s">
        <v>74</v>
      </c>
      <c r="BG261" t="s">
        <v>74</v>
      </c>
      <c r="BH261" t="s">
        <v>74</v>
      </c>
      <c r="BI261">
        <v>9</v>
      </c>
      <c r="BJ261" t="s">
        <v>3601</v>
      </c>
      <c r="BK261" t="s">
        <v>229</v>
      </c>
      <c r="BL261" t="s">
        <v>3602</v>
      </c>
      <c r="BM261" t="s">
        <v>3603</v>
      </c>
      <c r="BN261" t="s">
        <v>74</v>
      </c>
      <c r="BO261" t="s">
        <v>74</v>
      </c>
      <c r="BP261" t="s">
        <v>74</v>
      </c>
      <c r="BQ261" t="s">
        <v>74</v>
      </c>
      <c r="BR261" t="s">
        <v>97</v>
      </c>
      <c r="BS261" t="s">
        <v>3611</v>
      </c>
      <c r="BT261" t="str">
        <f>HYPERLINK("https%3A%2F%2Fwww.webofscience.com%2Fwos%2Fwoscc%2Ffull-record%2FWOS:000178200800235","View Full Record in Web of Science")</f>
        <v>View Full Record in Web of Science</v>
      </c>
    </row>
    <row r="262" spans="1:72" x14ac:dyDescent="0.15">
      <c r="A262" t="s">
        <v>209</v>
      </c>
      <c r="B262" t="s">
        <v>3612</v>
      </c>
      <c r="C262" t="s">
        <v>74</v>
      </c>
      <c r="D262" t="s">
        <v>3613</v>
      </c>
      <c r="E262" t="s">
        <v>74</v>
      </c>
      <c r="F262" t="s">
        <v>3612</v>
      </c>
      <c r="G262" t="s">
        <v>74</v>
      </c>
      <c r="H262" t="s">
        <v>74</v>
      </c>
      <c r="I262" t="s">
        <v>3614</v>
      </c>
      <c r="J262" t="s">
        <v>3615</v>
      </c>
      <c r="K262" t="s">
        <v>3616</v>
      </c>
      <c r="L262" t="s">
        <v>74</v>
      </c>
      <c r="M262" t="s">
        <v>77</v>
      </c>
      <c r="N262" t="s">
        <v>214</v>
      </c>
      <c r="O262" t="s">
        <v>3617</v>
      </c>
      <c r="P262" t="s">
        <v>3618</v>
      </c>
      <c r="Q262" t="s">
        <v>3619</v>
      </c>
      <c r="R262" t="s">
        <v>74</v>
      </c>
      <c r="S262" t="s">
        <v>74</v>
      </c>
      <c r="T262" t="s">
        <v>3620</v>
      </c>
      <c r="U262" t="s">
        <v>3621</v>
      </c>
      <c r="V262" t="s">
        <v>3622</v>
      </c>
      <c r="W262" t="s">
        <v>3623</v>
      </c>
      <c r="X262" t="s">
        <v>3624</v>
      </c>
      <c r="Y262" t="s">
        <v>3625</v>
      </c>
      <c r="Z262" t="s">
        <v>74</v>
      </c>
      <c r="AA262" t="s">
        <v>74</v>
      </c>
      <c r="AB262" t="s">
        <v>74</v>
      </c>
      <c r="AC262" t="s">
        <v>74</v>
      </c>
      <c r="AD262" t="s">
        <v>74</v>
      </c>
      <c r="AE262" t="s">
        <v>74</v>
      </c>
      <c r="AF262" t="s">
        <v>74</v>
      </c>
      <c r="AG262">
        <v>25</v>
      </c>
      <c r="AH262">
        <v>0</v>
      </c>
      <c r="AI262">
        <v>0</v>
      </c>
      <c r="AJ262">
        <v>0</v>
      </c>
      <c r="AK262">
        <v>0</v>
      </c>
      <c r="AL262" t="s">
        <v>3626</v>
      </c>
      <c r="AM262" t="s">
        <v>3627</v>
      </c>
      <c r="AN262" t="s">
        <v>3628</v>
      </c>
      <c r="AO262" t="s">
        <v>3629</v>
      </c>
      <c r="AP262" t="s">
        <v>74</v>
      </c>
      <c r="AQ262" t="s">
        <v>3630</v>
      </c>
      <c r="AR262" t="s">
        <v>3631</v>
      </c>
      <c r="AS262" t="s">
        <v>74</v>
      </c>
      <c r="AT262" t="s">
        <v>74</v>
      </c>
      <c r="AU262">
        <v>2001</v>
      </c>
      <c r="AV262">
        <v>4150</v>
      </c>
      <c r="AW262" t="s">
        <v>74</v>
      </c>
      <c r="AX262" t="s">
        <v>74</v>
      </c>
      <c r="AY262" t="s">
        <v>74</v>
      </c>
      <c r="AZ262" t="s">
        <v>74</v>
      </c>
      <c r="BA262" t="s">
        <v>74</v>
      </c>
      <c r="BB262">
        <v>20</v>
      </c>
      <c r="BC262">
        <v>30</v>
      </c>
      <c r="BD262" t="s">
        <v>74</v>
      </c>
      <c r="BE262" t="s">
        <v>3632</v>
      </c>
      <c r="BF262" t="str">
        <f>HYPERLINK("http://dx.doi.org/10.1117/12.416978","http://dx.doi.org/10.1117/12.416978")</f>
        <v>http://dx.doi.org/10.1117/12.416978</v>
      </c>
      <c r="BG262" t="s">
        <v>74</v>
      </c>
      <c r="BH262" t="s">
        <v>74</v>
      </c>
      <c r="BI262">
        <v>5</v>
      </c>
      <c r="BJ262" t="s">
        <v>3633</v>
      </c>
      <c r="BK262" t="s">
        <v>229</v>
      </c>
      <c r="BL262" t="s">
        <v>3633</v>
      </c>
      <c r="BM262" t="s">
        <v>3634</v>
      </c>
      <c r="BN262" t="s">
        <v>74</v>
      </c>
      <c r="BO262" t="s">
        <v>74</v>
      </c>
      <c r="BP262" t="s">
        <v>74</v>
      </c>
      <c r="BQ262" t="s">
        <v>74</v>
      </c>
      <c r="BR262" t="s">
        <v>97</v>
      </c>
      <c r="BS262" t="s">
        <v>3635</v>
      </c>
      <c r="BT262" t="str">
        <f>HYPERLINK("https%3A%2F%2Fwww.webofscience.com%2Fwos%2Fwoscc%2Ffull-record%2FWOS:000169001200003","View Full Record in Web of Science")</f>
        <v>View Full Record in Web of Science</v>
      </c>
    </row>
    <row r="263" spans="1:72" x14ac:dyDescent="0.15">
      <c r="A263" t="s">
        <v>209</v>
      </c>
      <c r="B263" t="s">
        <v>3636</v>
      </c>
      <c r="C263" t="s">
        <v>74</v>
      </c>
      <c r="D263" t="s">
        <v>3613</v>
      </c>
      <c r="E263" t="s">
        <v>74</v>
      </c>
      <c r="F263" t="s">
        <v>3636</v>
      </c>
      <c r="G263" t="s">
        <v>74</v>
      </c>
      <c r="H263" t="s">
        <v>74</v>
      </c>
      <c r="I263" t="s">
        <v>3637</v>
      </c>
      <c r="J263" t="s">
        <v>3615</v>
      </c>
      <c r="K263" t="s">
        <v>3638</v>
      </c>
      <c r="L263" t="s">
        <v>74</v>
      </c>
      <c r="M263" t="s">
        <v>77</v>
      </c>
      <c r="N263" t="s">
        <v>214</v>
      </c>
      <c r="O263" t="s">
        <v>3617</v>
      </c>
      <c r="P263" t="s">
        <v>3618</v>
      </c>
      <c r="Q263" t="s">
        <v>3619</v>
      </c>
      <c r="R263" t="s">
        <v>74</v>
      </c>
      <c r="S263" t="s">
        <v>74</v>
      </c>
      <c r="T263" t="s">
        <v>3639</v>
      </c>
      <c r="U263" t="s">
        <v>3640</v>
      </c>
      <c r="V263" t="s">
        <v>3641</v>
      </c>
      <c r="W263" t="s">
        <v>3642</v>
      </c>
      <c r="X263" t="s">
        <v>3643</v>
      </c>
      <c r="Y263" t="s">
        <v>3644</v>
      </c>
      <c r="Z263" t="s">
        <v>3645</v>
      </c>
      <c r="AA263" t="s">
        <v>3646</v>
      </c>
      <c r="AB263" t="s">
        <v>3647</v>
      </c>
      <c r="AC263" t="s">
        <v>74</v>
      </c>
      <c r="AD263" t="s">
        <v>74</v>
      </c>
      <c r="AE263" t="s">
        <v>74</v>
      </c>
      <c r="AF263" t="s">
        <v>74</v>
      </c>
      <c r="AG263">
        <v>20</v>
      </c>
      <c r="AH263">
        <v>0</v>
      </c>
      <c r="AI263">
        <v>0</v>
      </c>
      <c r="AJ263">
        <v>0</v>
      </c>
      <c r="AK263">
        <v>2</v>
      </c>
      <c r="AL263" t="s">
        <v>3626</v>
      </c>
      <c r="AM263" t="s">
        <v>3627</v>
      </c>
      <c r="AN263" t="s">
        <v>3628</v>
      </c>
      <c r="AO263" t="s">
        <v>3629</v>
      </c>
      <c r="AP263" t="s">
        <v>3648</v>
      </c>
      <c r="AQ263" t="s">
        <v>3630</v>
      </c>
      <c r="AR263" t="s">
        <v>3649</v>
      </c>
      <c r="AS263" t="s">
        <v>74</v>
      </c>
      <c r="AT263" t="s">
        <v>74</v>
      </c>
      <c r="AU263">
        <v>2001</v>
      </c>
      <c r="AV263">
        <v>4150</v>
      </c>
      <c r="AW263" t="s">
        <v>74</v>
      </c>
      <c r="AX263" t="s">
        <v>74</v>
      </c>
      <c r="AY263" t="s">
        <v>74</v>
      </c>
      <c r="AZ263" t="s">
        <v>74</v>
      </c>
      <c r="BA263" t="s">
        <v>74</v>
      </c>
      <c r="BB263">
        <v>76</v>
      </c>
      <c r="BC263">
        <v>86</v>
      </c>
      <c r="BD263" t="s">
        <v>74</v>
      </c>
      <c r="BE263" t="s">
        <v>3650</v>
      </c>
      <c r="BF263" t="str">
        <f>HYPERLINK("http://dx.doi.org/10.1117/12.416947","http://dx.doi.org/10.1117/12.416947")</f>
        <v>http://dx.doi.org/10.1117/12.416947</v>
      </c>
      <c r="BG263" t="s">
        <v>74</v>
      </c>
      <c r="BH263" t="s">
        <v>74</v>
      </c>
      <c r="BI263">
        <v>3</v>
      </c>
      <c r="BJ263" t="s">
        <v>3633</v>
      </c>
      <c r="BK263" t="s">
        <v>229</v>
      </c>
      <c r="BL263" t="s">
        <v>3633</v>
      </c>
      <c r="BM263" t="s">
        <v>3634</v>
      </c>
      <c r="BN263" t="s">
        <v>74</v>
      </c>
      <c r="BO263" t="s">
        <v>74</v>
      </c>
      <c r="BP263" t="s">
        <v>74</v>
      </c>
      <c r="BQ263" t="s">
        <v>74</v>
      </c>
      <c r="BR263" t="s">
        <v>97</v>
      </c>
      <c r="BS263" t="s">
        <v>3651</v>
      </c>
      <c r="BT263" t="str">
        <f>HYPERLINK("https%3A%2F%2Fwww.webofscience.com%2Fwos%2Fwoscc%2Ffull-record%2FWOS:000169001200009","View Full Record in Web of Science")</f>
        <v>View Full Record in Web of Science</v>
      </c>
    </row>
    <row r="264" spans="1:72" x14ac:dyDescent="0.15">
      <c r="A264" t="s">
        <v>209</v>
      </c>
      <c r="B264" t="s">
        <v>3652</v>
      </c>
      <c r="C264" t="s">
        <v>74</v>
      </c>
      <c r="D264" t="s">
        <v>3613</v>
      </c>
      <c r="E264" t="s">
        <v>74</v>
      </c>
      <c r="F264" t="s">
        <v>3652</v>
      </c>
      <c r="G264" t="s">
        <v>74</v>
      </c>
      <c r="H264" t="s">
        <v>74</v>
      </c>
      <c r="I264" t="s">
        <v>3653</v>
      </c>
      <c r="J264" t="s">
        <v>3615</v>
      </c>
      <c r="K264" t="s">
        <v>3616</v>
      </c>
      <c r="L264" t="s">
        <v>74</v>
      </c>
      <c r="M264" t="s">
        <v>77</v>
      </c>
      <c r="N264" t="s">
        <v>214</v>
      </c>
      <c r="O264" t="s">
        <v>3617</v>
      </c>
      <c r="P264" t="s">
        <v>3618</v>
      </c>
      <c r="Q264" t="s">
        <v>3619</v>
      </c>
      <c r="R264" t="s">
        <v>74</v>
      </c>
      <c r="S264" t="s">
        <v>74</v>
      </c>
      <c r="T264" t="s">
        <v>3654</v>
      </c>
      <c r="U264" t="s">
        <v>3655</v>
      </c>
      <c r="V264" t="s">
        <v>3656</v>
      </c>
      <c r="W264" t="s">
        <v>3657</v>
      </c>
      <c r="X264" t="s">
        <v>3658</v>
      </c>
      <c r="Y264" t="s">
        <v>3659</v>
      </c>
      <c r="Z264" t="s">
        <v>74</v>
      </c>
      <c r="AA264" t="s">
        <v>3660</v>
      </c>
      <c r="AB264" t="s">
        <v>3661</v>
      </c>
      <c r="AC264" t="s">
        <v>74</v>
      </c>
      <c r="AD264" t="s">
        <v>74</v>
      </c>
      <c r="AE264" t="s">
        <v>74</v>
      </c>
      <c r="AF264" t="s">
        <v>74</v>
      </c>
      <c r="AG264">
        <v>18</v>
      </c>
      <c r="AH264">
        <v>0</v>
      </c>
      <c r="AI264">
        <v>0</v>
      </c>
      <c r="AJ264">
        <v>0</v>
      </c>
      <c r="AK264">
        <v>2</v>
      </c>
      <c r="AL264" t="s">
        <v>3626</v>
      </c>
      <c r="AM264" t="s">
        <v>3627</v>
      </c>
      <c r="AN264" t="s">
        <v>3628</v>
      </c>
      <c r="AO264" t="s">
        <v>3629</v>
      </c>
      <c r="AP264" t="s">
        <v>74</v>
      </c>
      <c r="AQ264" t="s">
        <v>3630</v>
      </c>
      <c r="AR264" t="s">
        <v>3631</v>
      </c>
      <c r="AS264" t="s">
        <v>74</v>
      </c>
      <c r="AT264" t="s">
        <v>74</v>
      </c>
      <c r="AU264">
        <v>2001</v>
      </c>
      <c r="AV264">
        <v>4150</v>
      </c>
      <c r="AW264" t="s">
        <v>74</v>
      </c>
      <c r="AX264" t="s">
        <v>74</v>
      </c>
      <c r="AY264" t="s">
        <v>74</v>
      </c>
      <c r="AZ264" t="s">
        <v>74</v>
      </c>
      <c r="BA264" t="s">
        <v>74</v>
      </c>
      <c r="BB264">
        <v>410</v>
      </c>
      <c r="BC264">
        <v>419</v>
      </c>
      <c r="BD264" t="s">
        <v>74</v>
      </c>
      <c r="BE264" t="s">
        <v>3662</v>
      </c>
      <c r="BF264" t="str">
        <f>HYPERLINK("http://dx.doi.org/10.1117/12.416984","http://dx.doi.org/10.1117/12.416984")</f>
        <v>http://dx.doi.org/10.1117/12.416984</v>
      </c>
      <c r="BG264" t="s">
        <v>74</v>
      </c>
      <c r="BH264" t="s">
        <v>74</v>
      </c>
      <c r="BI264">
        <v>4</v>
      </c>
      <c r="BJ264" t="s">
        <v>3633</v>
      </c>
      <c r="BK264" t="s">
        <v>229</v>
      </c>
      <c r="BL264" t="s">
        <v>3633</v>
      </c>
      <c r="BM264" t="s">
        <v>3634</v>
      </c>
      <c r="BN264" t="s">
        <v>74</v>
      </c>
      <c r="BO264" t="s">
        <v>74</v>
      </c>
      <c r="BP264" t="s">
        <v>74</v>
      </c>
      <c r="BQ264" t="s">
        <v>74</v>
      </c>
      <c r="BR264" t="s">
        <v>97</v>
      </c>
      <c r="BS264" t="s">
        <v>3663</v>
      </c>
      <c r="BT264" t="str">
        <f>HYPERLINK("https%3A%2F%2Fwww.webofscience.com%2Fwos%2Fwoscc%2Ffull-record%2FWOS:000169001200046","View Full Record in Web of Science")</f>
        <v>View Full Record in Web of Science</v>
      </c>
    </row>
    <row r="265" spans="1:72" x14ac:dyDescent="0.15">
      <c r="A265" t="s">
        <v>209</v>
      </c>
      <c r="B265" t="s">
        <v>3664</v>
      </c>
      <c r="C265" t="s">
        <v>74</v>
      </c>
      <c r="D265" t="s">
        <v>3665</v>
      </c>
      <c r="E265" t="s">
        <v>74</v>
      </c>
      <c r="F265" t="s">
        <v>3664</v>
      </c>
      <c r="G265" t="s">
        <v>74</v>
      </c>
      <c r="H265" t="s">
        <v>74</v>
      </c>
      <c r="I265" t="s">
        <v>3666</v>
      </c>
      <c r="J265" t="s">
        <v>3667</v>
      </c>
      <c r="K265" t="s">
        <v>3638</v>
      </c>
      <c r="L265" t="s">
        <v>74</v>
      </c>
      <c r="M265" t="s">
        <v>77</v>
      </c>
      <c r="N265" t="s">
        <v>214</v>
      </c>
      <c r="O265" t="s">
        <v>3668</v>
      </c>
      <c r="P265" t="s">
        <v>3669</v>
      </c>
      <c r="Q265" t="s">
        <v>3670</v>
      </c>
      <c r="R265" t="s">
        <v>74</v>
      </c>
      <c r="S265" t="s">
        <v>74</v>
      </c>
      <c r="T265" t="s">
        <v>3671</v>
      </c>
      <c r="U265" t="s">
        <v>3672</v>
      </c>
      <c r="V265" t="s">
        <v>3673</v>
      </c>
      <c r="W265" t="s">
        <v>3674</v>
      </c>
      <c r="X265" t="s">
        <v>3675</v>
      </c>
      <c r="Y265" t="s">
        <v>3676</v>
      </c>
      <c r="Z265" t="s">
        <v>3677</v>
      </c>
      <c r="AA265" t="s">
        <v>3678</v>
      </c>
      <c r="AB265" t="s">
        <v>3679</v>
      </c>
      <c r="AC265" t="s">
        <v>74</v>
      </c>
      <c r="AD265" t="s">
        <v>74</v>
      </c>
      <c r="AE265" t="s">
        <v>74</v>
      </c>
      <c r="AF265" t="s">
        <v>74</v>
      </c>
      <c r="AG265">
        <v>28</v>
      </c>
      <c r="AH265">
        <v>1</v>
      </c>
      <c r="AI265">
        <v>1</v>
      </c>
      <c r="AJ265">
        <v>0</v>
      </c>
      <c r="AK265">
        <v>1</v>
      </c>
      <c r="AL265" t="s">
        <v>3626</v>
      </c>
      <c r="AM265" t="s">
        <v>3627</v>
      </c>
      <c r="AN265" t="s">
        <v>3628</v>
      </c>
      <c r="AO265" t="s">
        <v>3629</v>
      </c>
      <c r="AP265" t="s">
        <v>3648</v>
      </c>
      <c r="AQ265" t="s">
        <v>3680</v>
      </c>
      <c r="AR265" t="s">
        <v>3649</v>
      </c>
      <c r="AS265" t="s">
        <v>74</v>
      </c>
      <c r="AT265" t="s">
        <v>74</v>
      </c>
      <c r="AU265">
        <v>2001</v>
      </c>
      <c r="AV265">
        <v>4485</v>
      </c>
      <c r="AW265" t="s">
        <v>74</v>
      </c>
      <c r="AX265" t="s">
        <v>74</v>
      </c>
      <c r="AY265" t="s">
        <v>74</v>
      </c>
      <c r="AZ265" t="s">
        <v>74</v>
      </c>
      <c r="BA265" t="s">
        <v>74</v>
      </c>
      <c r="BB265">
        <v>225</v>
      </c>
      <c r="BC265">
        <v>235</v>
      </c>
      <c r="BD265" t="s">
        <v>3681</v>
      </c>
      <c r="BE265" t="s">
        <v>74</v>
      </c>
      <c r="BF265" t="s">
        <v>74</v>
      </c>
      <c r="BG265" t="s">
        <v>74</v>
      </c>
      <c r="BH265" t="s">
        <v>74</v>
      </c>
      <c r="BI265">
        <v>11</v>
      </c>
      <c r="BJ265" t="s">
        <v>3682</v>
      </c>
      <c r="BK265" t="s">
        <v>229</v>
      </c>
      <c r="BL265" t="s">
        <v>3683</v>
      </c>
      <c r="BM265" t="s">
        <v>3684</v>
      </c>
      <c r="BN265" t="s">
        <v>74</v>
      </c>
      <c r="BO265" t="s">
        <v>74</v>
      </c>
      <c r="BP265" t="s">
        <v>74</v>
      </c>
      <c r="BQ265" t="s">
        <v>74</v>
      </c>
      <c r="BR265" t="s">
        <v>97</v>
      </c>
      <c r="BS265" t="s">
        <v>3685</v>
      </c>
      <c r="BT265" t="str">
        <f>HYPERLINK("https%3A%2F%2Fwww.webofscience.com%2Fwos%2Fwoscc%2Ffull-record%2FWOS:000175162500025","View Full Record in Web of Science")</f>
        <v>View Full Record in Web of Science</v>
      </c>
    </row>
    <row r="266" spans="1:72" x14ac:dyDescent="0.15">
      <c r="A266" t="s">
        <v>209</v>
      </c>
      <c r="B266" t="s">
        <v>3686</v>
      </c>
      <c r="C266" t="s">
        <v>74</v>
      </c>
      <c r="D266" t="s">
        <v>3665</v>
      </c>
      <c r="E266" t="s">
        <v>74</v>
      </c>
      <c r="F266" t="s">
        <v>3686</v>
      </c>
      <c r="G266" t="s">
        <v>74</v>
      </c>
      <c r="H266" t="s">
        <v>74</v>
      </c>
      <c r="I266" t="s">
        <v>3687</v>
      </c>
      <c r="J266" t="s">
        <v>3667</v>
      </c>
      <c r="K266" t="s">
        <v>3616</v>
      </c>
      <c r="L266" t="s">
        <v>74</v>
      </c>
      <c r="M266" t="s">
        <v>77</v>
      </c>
      <c r="N266" t="s">
        <v>214</v>
      </c>
      <c r="O266" t="s">
        <v>3668</v>
      </c>
      <c r="P266" t="s">
        <v>3669</v>
      </c>
      <c r="Q266" t="s">
        <v>3670</v>
      </c>
      <c r="R266" t="s">
        <v>74</v>
      </c>
      <c r="S266" t="s">
        <v>74</v>
      </c>
      <c r="T266" t="s">
        <v>74</v>
      </c>
      <c r="U266" t="s">
        <v>3688</v>
      </c>
      <c r="V266" t="s">
        <v>3689</v>
      </c>
      <c r="W266" t="s">
        <v>3674</v>
      </c>
      <c r="X266" t="s">
        <v>3675</v>
      </c>
      <c r="Y266" t="s">
        <v>3690</v>
      </c>
      <c r="Z266" t="s">
        <v>74</v>
      </c>
      <c r="AA266" t="s">
        <v>3691</v>
      </c>
      <c r="AB266" t="s">
        <v>3692</v>
      </c>
      <c r="AC266" t="s">
        <v>74</v>
      </c>
      <c r="AD266" t="s">
        <v>74</v>
      </c>
      <c r="AE266" t="s">
        <v>74</v>
      </c>
      <c r="AF266" t="s">
        <v>74</v>
      </c>
      <c r="AG266">
        <v>14</v>
      </c>
      <c r="AH266">
        <v>0</v>
      </c>
      <c r="AI266">
        <v>0</v>
      </c>
      <c r="AJ266">
        <v>0</v>
      </c>
      <c r="AK266">
        <v>3</v>
      </c>
      <c r="AL266" t="s">
        <v>3626</v>
      </c>
      <c r="AM266" t="s">
        <v>3627</v>
      </c>
      <c r="AN266" t="s">
        <v>3628</v>
      </c>
      <c r="AO266" t="s">
        <v>3629</v>
      </c>
      <c r="AP266" t="s">
        <v>74</v>
      </c>
      <c r="AQ266" t="s">
        <v>3680</v>
      </c>
      <c r="AR266" t="s">
        <v>3631</v>
      </c>
      <c r="AS266" t="s">
        <v>74</v>
      </c>
      <c r="AT266" t="s">
        <v>74</v>
      </c>
      <c r="AU266">
        <v>2001</v>
      </c>
      <c r="AV266">
        <v>4485</v>
      </c>
      <c r="AW266" t="s">
        <v>74</v>
      </c>
      <c r="AX266" t="s">
        <v>74</v>
      </c>
      <c r="AY266" t="s">
        <v>74</v>
      </c>
      <c r="AZ266" t="s">
        <v>74</v>
      </c>
      <c r="BA266" t="s">
        <v>74</v>
      </c>
      <c r="BB266">
        <v>486</v>
      </c>
      <c r="BC266">
        <v>492</v>
      </c>
      <c r="BD266" t="s">
        <v>3693</v>
      </c>
      <c r="BE266" t="s">
        <v>74</v>
      </c>
      <c r="BF266" t="s">
        <v>74</v>
      </c>
      <c r="BG266" t="s">
        <v>74</v>
      </c>
      <c r="BH266" t="s">
        <v>74</v>
      </c>
      <c r="BI266">
        <v>7</v>
      </c>
      <c r="BJ266" t="s">
        <v>3682</v>
      </c>
      <c r="BK266" t="s">
        <v>229</v>
      </c>
      <c r="BL266" t="s">
        <v>3683</v>
      </c>
      <c r="BM266" t="s">
        <v>3684</v>
      </c>
      <c r="BN266" t="s">
        <v>74</v>
      </c>
      <c r="BO266" t="s">
        <v>74</v>
      </c>
      <c r="BP266" t="s">
        <v>74</v>
      </c>
      <c r="BQ266" t="s">
        <v>74</v>
      </c>
      <c r="BR266" t="s">
        <v>97</v>
      </c>
      <c r="BS266" t="s">
        <v>3694</v>
      </c>
      <c r="BT266" t="str">
        <f>HYPERLINK("https%3A%2F%2Fwww.webofscience.com%2Fwos%2Fwoscc%2Ffull-record%2FWOS:000175162500053","View Full Record in Web of Science")</f>
        <v>View Full Record in Web of Science</v>
      </c>
    </row>
    <row r="267" spans="1:72" x14ac:dyDescent="0.15">
      <c r="A267" t="s">
        <v>72</v>
      </c>
      <c r="B267" t="s">
        <v>3695</v>
      </c>
      <c r="C267" t="s">
        <v>74</v>
      </c>
      <c r="D267" t="s">
        <v>74</v>
      </c>
      <c r="E267" t="s">
        <v>74</v>
      </c>
      <c r="F267" t="s">
        <v>3695</v>
      </c>
      <c r="G267" t="s">
        <v>74</v>
      </c>
      <c r="H267" t="s">
        <v>74</v>
      </c>
      <c r="I267" t="s">
        <v>3696</v>
      </c>
      <c r="J267" t="s">
        <v>3697</v>
      </c>
      <c r="K267" t="s">
        <v>74</v>
      </c>
      <c r="L267" t="s">
        <v>74</v>
      </c>
      <c r="M267" t="s">
        <v>77</v>
      </c>
      <c r="N267" t="s">
        <v>78</v>
      </c>
      <c r="O267" t="s">
        <v>74</v>
      </c>
      <c r="P267" t="s">
        <v>74</v>
      </c>
      <c r="Q267" t="s">
        <v>74</v>
      </c>
      <c r="R267" t="s">
        <v>74</v>
      </c>
      <c r="S267" t="s">
        <v>74</v>
      </c>
      <c r="T267" t="s">
        <v>3698</v>
      </c>
      <c r="U267" t="s">
        <v>3699</v>
      </c>
      <c r="V267" t="s">
        <v>3700</v>
      </c>
      <c r="W267" t="s">
        <v>3701</v>
      </c>
      <c r="X267" t="s">
        <v>3702</v>
      </c>
      <c r="Y267" t="s">
        <v>3703</v>
      </c>
      <c r="Z267" t="s">
        <v>74</v>
      </c>
      <c r="AA267" t="s">
        <v>3704</v>
      </c>
      <c r="AB267" t="s">
        <v>3705</v>
      </c>
      <c r="AC267" t="s">
        <v>74</v>
      </c>
      <c r="AD267" t="s">
        <v>74</v>
      </c>
      <c r="AE267" t="s">
        <v>74</v>
      </c>
      <c r="AF267" t="s">
        <v>74</v>
      </c>
      <c r="AG267">
        <v>46</v>
      </c>
      <c r="AH267">
        <v>22</v>
      </c>
      <c r="AI267">
        <v>23</v>
      </c>
      <c r="AJ267">
        <v>0</v>
      </c>
      <c r="AK267">
        <v>7</v>
      </c>
      <c r="AL267" t="s">
        <v>245</v>
      </c>
      <c r="AM267" t="s">
        <v>246</v>
      </c>
      <c r="AN267" t="s">
        <v>247</v>
      </c>
      <c r="AO267" t="s">
        <v>3706</v>
      </c>
      <c r="AP267" t="s">
        <v>74</v>
      </c>
      <c r="AQ267" t="s">
        <v>74</v>
      </c>
      <c r="AR267" t="s">
        <v>3707</v>
      </c>
      <c r="AS267" t="s">
        <v>3708</v>
      </c>
      <c r="AT267" t="s">
        <v>74</v>
      </c>
      <c r="AU267">
        <v>2001</v>
      </c>
      <c r="AV267">
        <v>32</v>
      </c>
      <c r="AW267">
        <v>2</v>
      </c>
      <c r="AX267" t="s">
        <v>74</v>
      </c>
      <c r="AY267" t="s">
        <v>74</v>
      </c>
      <c r="AZ267" t="s">
        <v>74</v>
      </c>
      <c r="BA267" t="s">
        <v>74</v>
      </c>
      <c r="BB267">
        <v>321</v>
      </c>
      <c r="BC267">
        <v>332</v>
      </c>
      <c r="BD267" t="s">
        <v>74</v>
      </c>
      <c r="BE267" t="s">
        <v>74</v>
      </c>
      <c r="BF267" t="s">
        <v>74</v>
      </c>
      <c r="BG267" t="s">
        <v>74</v>
      </c>
      <c r="BH267" t="s">
        <v>74</v>
      </c>
      <c r="BI267">
        <v>12</v>
      </c>
      <c r="BJ267" t="s">
        <v>953</v>
      </c>
      <c r="BK267" t="s">
        <v>94</v>
      </c>
      <c r="BL267" t="s">
        <v>953</v>
      </c>
      <c r="BM267" t="s">
        <v>3709</v>
      </c>
      <c r="BN267" t="s">
        <v>74</v>
      </c>
      <c r="BO267" t="s">
        <v>74</v>
      </c>
      <c r="BP267" t="s">
        <v>74</v>
      </c>
      <c r="BQ267" t="s">
        <v>74</v>
      </c>
      <c r="BR267" t="s">
        <v>97</v>
      </c>
      <c r="BS267" t="s">
        <v>3710</v>
      </c>
      <c r="BT267" t="str">
        <f>HYPERLINK("https%3A%2F%2Fwww.webofscience.com%2Fwos%2Fwoscc%2Ffull-record%2FWOS:000167230900012","View Full Record in Web of Science")</f>
        <v>View Full Record in Web of Science</v>
      </c>
    </row>
    <row r="268" spans="1:72" x14ac:dyDescent="0.15">
      <c r="A268" t="s">
        <v>72</v>
      </c>
      <c r="B268" t="s">
        <v>3711</v>
      </c>
      <c r="C268" t="s">
        <v>74</v>
      </c>
      <c r="D268" t="s">
        <v>74</v>
      </c>
      <c r="E268" t="s">
        <v>74</v>
      </c>
      <c r="F268" t="s">
        <v>3711</v>
      </c>
      <c r="G268" t="s">
        <v>74</v>
      </c>
      <c r="H268" t="s">
        <v>74</v>
      </c>
      <c r="I268" t="s">
        <v>3712</v>
      </c>
      <c r="J268" t="s">
        <v>3713</v>
      </c>
      <c r="K268" t="s">
        <v>74</v>
      </c>
      <c r="L268" t="s">
        <v>74</v>
      </c>
      <c r="M268" t="s">
        <v>77</v>
      </c>
      <c r="N268" t="s">
        <v>78</v>
      </c>
      <c r="O268" t="s">
        <v>74</v>
      </c>
      <c r="P268" t="s">
        <v>74</v>
      </c>
      <c r="Q268" t="s">
        <v>74</v>
      </c>
      <c r="R268" t="s">
        <v>74</v>
      </c>
      <c r="S268" t="s">
        <v>74</v>
      </c>
      <c r="T268" t="s">
        <v>3714</v>
      </c>
      <c r="U268" t="s">
        <v>3715</v>
      </c>
      <c r="V268" t="s">
        <v>3716</v>
      </c>
      <c r="W268" t="s">
        <v>3717</v>
      </c>
      <c r="X268" t="s">
        <v>74</v>
      </c>
      <c r="Y268" t="s">
        <v>74</v>
      </c>
      <c r="Z268" t="s">
        <v>3718</v>
      </c>
      <c r="AA268" t="s">
        <v>74</v>
      </c>
      <c r="AB268" t="s">
        <v>74</v>
      </c>
      <c r="AC268" t="s">
        <v>74</v>
      </c>
      <c r="AD268" t="s">
        <v>74</v>
      </c>
      <c r="AE268" t="s">
        <v>74</v>
      </c>
      <c r="AF268" t="s">
        <v>74</v>
      </c>
      <c r="AG268">
        <v>16</v>
      </c>
      <c r="AH268">
        <v>5</v>
      </c>
      <c r="AI268">
        <v>7</v>
      </c>
      <c r="AJ268">
        <v>0</v>
      </c>
      <c r="AK268">
        <v>2</v>
      </c>
      <c r="AL268" t="s">
        <v>776</v>
      </c>
      <c r="AM268" t="s">
        <v>777</v>
      </c>
      <c r="AN268" t="s">
        <v>778</v>
      </c>
      <c r="AO268" t="s">
        <v>3719</v>
      </c>
      <c r="AP268" t="s">
        <v>3720</v>
      </c>
      <c r="AQ268" t="s">
        <v>74</v>
      </c>
      <c r="AR268" t="s">
        <v>3721</v>
      </c>
      <c r="AS268" t="s">
        <v>3722</v>
      </c>
      <c r="AT268" t="s">
        <v>74</v>
      </c>
      <c r="AU268">
        <v>2001</v>
      </c>
      <c r="AV268">
        <v>1</v>
      </c>
      <c r="AW268">
        <v>2</v>
      </c>
      <c r="AX268" t="s">
        <v>74</v>
      </c>
      <c r="AY268" t="s">
        <v>74</v>
      </c>
      <c r="AZ268" t="s">
        <v>74</v>
      </c>
      <c r="BA268" t="s">
        <v>74</v>
      </c>
      <c r="BB268">
        <v>133</v>
      </c>
      <c r="BC268">
        <v>138</v>
      </c>
      <c r="BD268" t="s">
        <v>74</v>
      </c>
      <c r="BE268" t="s">
        <v>3723</v>
      </c>
      <c r="BF268" t="str">
        <f>HYPERLINK("http://dx.doi.org/10.1078/1439-6092-00010","http://dx.doi.org/10.1078/1439-6092-00010")</f>
        <v>http://dx.doi.org/10.1078/1439-6092-00010</v>
      </c>
      <c r="BG268" t="s">
        <v>74</v>
      </c>
      <c r="BH268" t="s">
        <v>74</v>
      </c>
      <c r="BI268">
        <v>6</v>
      </c>
      <c r="BJ268" t="s">
        <v>3724</v>
      </c>
      <c r="BK268" t="s">
        <v>94</v>
      </c>
      <c r="BL268" t="s">
        <v>3724</v>
      </c>
      <c r="BM268" t="s">
        <v>3725</v>
      </c>
      <c r="BN268" t="s">
        <v>74</v>
      </c>
      <c r="BO268" t="s">
        <v>1755</v>
      </c>
      <c r="BP268" t="s">
        <v>74</v>
      </c>
      <c r="BQ268" t="s">
        <v>74</v>
      </c>
      <c r="BR268" t="s">
        <v>97</v>
      </c>
      <c r="BS268" t="s">
        <v>3726</v>
      </c>
      <c r="BT268" t="str">
        <f>HYPERLINK("https%3A%2F%2Fwww.webofscience.com%2Fwos%2Fwoscc%2Ffull-record%2FWOS:000173331000005","View Full Record in Web of Science")</f>
        <v>View Full Record in Web of Science</v>
      </c>
    </row>
    <row r="269" spans="1:72" x14ac:dyDescent="0.15">
      <c r="A269" t="s">
        <v>72</v>
      </c>
      <c r="B269" t="s">
        <v>3727</v>
      </c>
      <c r="C269" t="s">
        <v>74</v>
      </c>
      <c r="D269" t="s">
        <v>74</v>
      </c>
      <c r="E269" t="s">
        <v>74</v>
      </c>
      <c r="F269" t="s">
        <v>3727</v>
      </c>
      <c r="G269" t="s">
        <v>74</v>
      </c>
      <c r="H269" t="s">
        <v>74</v>
      </c>
      <c r="I269" t="s">
        <v>3728</v>
      </c>
      <c r="J269" t="s">
        <v>3713</v>
      </c>
      <c r="K269" t="s">
        <v>74</v>
      </c>
      <c r="L269" t="s">
        <v>74</v>
      </c>
      <c r="M269" t="s">
        <v>77</v>
      </c>
      <c r="N269" t="s">
        <v>78</v>
      </c>
      <c r="O269" t="s">
        <v>74</v>
      </c>
      <c r="P269" t="s">
        <v>74</v>
      </c>
      <c r="Q269" t="s">
        <v>74</v>
      </c>
      <c r="R269" t="s">
        <v>74</v>
      </c>
      <c r="S269" t="s">
        <v>74</v>
      </c>
      <c r="T269" t="s">
        <v>3729</v>
      </c>
      <c r="U269" t="s">
        <v>3730</v>
      </c>
      <c r="V269" t="s">
        <v>3731</v>
      </c>
      <c r="W269" t="s">
        <v>3732</v>
      </c>
      <c r="X269" t="s">
        <v>3733</v>
      </c>
      <c r="Y269" t="s">
        <v>3734</v>
      </c>
      <c r="Z269" t="s">
        <v>74</v>
      </c>
      <c r="AA269" t="s">
        <v>74</v>
      </c>
      <c r="AB269" t="s">
        <v>3735</v>
      </c>
      <c r="AC269" t="s">
        <v>74</v>
      </c>
      <c r="AD269" t="s">
        <v>74</v>
      </c>
      <c r="AE269" t="s">
        <v>74</v>
      </c>
      <c r="AF269" t="s">
        <v>74</v>
      </c>
      <c r="AG269">
        <v>41</v>
      </c>
      <c r="AH269">
        <v>14</v>
      </c>
      <c r="AI269">
        <v>18</v>
      </c>
      <c r="AJ269">
        <v>0</v>
      </c>
      <c r="AK269">
        <v>1</v>
      </c>
      <c r="AL269" t="s">
        <v>3736</v>
      </c>
      <c r="AM269" t="s">
        <v>3737</v>
      </c>
      <c r="AN269" t="s">
        <v>3738</v>
      </c>
      <c r="AO269" t="s">
        <v>3719</v>
      </c>
      <c r="AP269" t="s">
        <v>74</v>
      </c>
      <c r="AQ269" t="s">
        <v>74</v>
      </c>
      <c r="AR269" t="s">
        <v>3721</v>
      </c>
      <c r="AS269" t="s">
        <v>3722</v>
      </c>
      <c r="AT269" t="s">
        <v>74</v>
      </c>
      <c r="AU269">
        <v>2001</v>
      </c>
      <c r="AV269">
        <v>1</v>
      </c>
      <c r="AW269">
        <v>3</v>
      </c>
      <c r="AX269" t="s">
        <v>74</v>
      </c>
      <c r="AY269" t="s">
        <v>74</v>
      </c>
      <c r="AZ269" t="s">
        <v>74</v>
      </c>
      <c r="BA269" t="s">
        <v>74</v>
      </c>
      <c r="BB269">
        <v>225</v>
      </c>
      <c r="BC269">
        <v>238</v>
      </c>
      <c r="BD269" t="s">
        <v>74</v>
      </c>
      <c r="BE269" t="s">
        <v>3739</v>
      </c>
      <c r="BF269" t="str">
        <f>HYPERLINK("http://dx.doi.org/10.1078/1439-6092-00019","http://dx.doi.org/10.1078/1439-6092-00019")</f>
        <v>http://dx.doi.org/10.1078/1439-6092-00019</v>
      </c>
      <c r="BG269" t="s">
        <v>74</v>
      </c>
      <c r="BH269" t="s">
        <v>74</v>
      </c>
      <c r="BI269">
        <v>14</v>
      </c>
      <c r="BJ269" t="s">
        <v>3724</v>
      </c>
      <c r="BK269" t="s">
        <v>94</v>
      </c>
      <c r="BL269" t="s">
        <v>3724</v>
      </c>
      <c r="BM269" t="s">
        <v>3740</v>
      </c>
      <c r="BN269" t="s">
        <v>74</v>
      </c>
      <c r="BO269" t="s">
        <v>1755</v>
      </c>
      <c r="BP269" t="s">
        <v>74</v>
      </c>
      <c r="BQ269" t="s">
        <v>74</v>
      </c>
      <c r="BR269" t="s">
        <v>97</v>
      </c>
      <c r="BS269" t="s">
        <v>3741</v>
      </c>
      <c r="BT269" t="str">
        <f>HYPERLINK("https%3A%2F%2Fwww.webofscience.com%2Fwos%2Fwoscc%2Ffull-record%2FWOS:000173331200005","View Full Record in Web of Science")</f>
        <v>View Full Record in Web of Science</v>
      </c>
    </row>
    <row r="270" spans="1:72" x14ac:dyDescent="0.15">
      <c r="A270" t="s">
        <v>72</v>
      </c>
      <c r="B270" t="s">
        <v>3742</v>
      </c>
      <c r="C270" t="s">
        <v>74</v>
      </c>
      <c r="D270" t="s">
        <v>74</v>
      </c>
      <c r="E270" t="s">
        <v>74</v>
      </c>
      <c r="F270" t="s">
        <v>3742</v>
      </c>
      <c r="G270" t="s">
        <v>74</v>
      </c>
      <c r="H270" t="s">
        <v>74</v>
      </c>
      <c r="I270" t="s">
        <v>3743</v>
      </c>
      <c r="J270" t="s">
        <v>3744</v>
      </c>
      <c r="K270" t="s">
        <v>74</v>
      </c>
      <c r="L270" t="s">
        <v>74</v>
      </c>
      <c r="M270" t="s">
        <v>77</v>
      </c>
      <c r="N270" t="s">
        <v>78</v>
      </c>
      <c r="O270" t="s">
        <v>74</v>
      </c>
      <c r="P270" t="s">
        <v>74</v>
      </c>
      <c r="Q270" t="s">
        <v>74</v>
      </c>
      <c r="R270" t="s">
        <v>74</v>
      </c>
      <c r="S270" t="s">
        <v>74</v>
      </c>
      <c r="T270" t="s">
        <v>3745</v>
      </c>
      <c r="U270" t="s">
        <v>3746</v>
      </c>
      <c r="V270" t="s">
        <v>3747</v>
      </c>
      <c r="W270" t="s">
        <v>3748</v>
      </c>
      <c r="X270" t="s">
        <v>3749</v>
      </c>
      <c r="Y270" t="s">
        <v>3750</v>
      </c>
      <c r="Z270" t="s">
        <v>74</v>
      </c>
      <c r="AA270" t="s">
        <v>74</v>
      </c>
      <c r="AB270" t="s">
        <v>74</v>
      </c>
      <c r="AC270" t="s">
        <v>74</v>
      </c>
      <c r="AD270" t="s">
        <v>74</v>
      </c>
      <c r="AE270" t="s">
        <v>74</v>
      </c>
      <c r="AF270" t="s">
        <v>74</v>
      </c>
      <c r="AG270">
        <v>68</v>
      </c>
      <c r="AH270">
        <v>12</v>
      </c>
      <c r="AI270">
        <v>12</v>
      </c>
      <c r="AJ270">
        <v>0</v>
      </c>
      <c r="AK270">
        <v>14</v>
      </c>
      <c r="AL270" t="s">
        <v>906</v>
      </c>
      <c r="AM270" t="s">
        <v>738</v>
      </c>
      <c r="AN270" t="s">
        <v>1253</v>
      </c>
      <c r="AO270" t="s">
        <v>3751</v>
      </c>
      <c r="AP270" t="s">
        <v>3752</v>
      </c>
      <c r="AQ270" t="s">
        <v>74</v>
      </c>
      <c r="AR270" t="s">
        <v>3753</v>
      </c>
      <c r="AS270" t="s">
        <v>3754</v>
      </c>
      <c r="AT270" t="s">
        <v>74</v>
      </c>
      <c r="AU270">
        <v>2001</v>
      </c>
      <c r="AV270">
        <v>31</v>
      </c>
      <c r="AW270" t="s">
        <v>3755</v>
      </c>
      <c r="AX270" t="s">
        <v>74</v>
      </c>
      <c r="AY270" t="s">
        <v>74</v>
      </c>
      <c r="AZ270" t="s">
        <v>74</v>
      </c>
      <c r="BA270" t="s">
        <v>74</v>
      </c>
      <c r="BB270">
        <v>459</v>
      </c>
      <c r="BC270">
        <v>480</v>
      </c>
      <c r="BD270" t="s">
        <v>74</v>
      </c>
      <c r="BE270" t="s">
        <v>3756</v>
      </c>
      <c r="BF270" t="str">
        <f>HYPERLINK("http://dx.doi.org/10.1023/A:1011832902468","http://dx.doi.org/10.1023/A:1011832902468")</f>
        <v>http://dx.doi.org/10.1023/A:1011832902468</v>
      </c>
      <c r="BG270" t="s">
        <v>74</v>
      </c>
      <c r="BH270" t="s">
        <v>74</v>
      </c>
      <c r="BI270">
        <v>22</v>
      </c>
      <c r="BJ270" t="s">
        <v>3757</v>
      </c>
      <c r="BK270" t="s">
        <v>94</v>
      </c>
      <c r="BL270" t="s">
        <v>3758</v>
      </c>
      <c r="BM270" t="s">
        <v>3759</v>
      </c>
      <c r="BN270">
        <v>11599180</v>
      </c>
      <c r="BO270" t="s">
        <v>74</v>
      </c>
      <c r="BP270" t="s">
        <v>74</v>
      </c>
      <c r="BQ270" t="s">
        <v>74</v>
      </c>
      <c r="BR270" t="s">
        <v>97</v>
      </c>
      <c r="BS270" t="s">
        <v>3760</v>
      </c>
      <c r="BT270" t="str">
        <f>HYPERLINK("https%3A%2F%2Fwww.webofscience.com%2Fwos%2Fwoscc%2Ffull-record%2FWOS:000170975700008","View Full Record in Web of Science")</f>
        <v>View Full Record in Web of Science</v>
      </c>
    </row>
    <row r="271" spans="1:72" x14ac:dyDescent="0.15">
      <c r="A271" t="s">
        <v>1106</v>
      </c>
      <c r="B271" t="s">
        <v>3761</v>
      </c>
      <c r="C271" t="s">
        <v>74</v>
      </c>
      <c r="D271" t="s">
        <v>3762</v>
      </c>
      <c r="E271" t="s">
        <v>74</v>
      </c>
      <c r="F271" t="s">
        <v>3761</v>
      </c>
      <c r="G271" t="s">
        <v>74</v>
      </c>
      <c r="H271" t="s">
        <v>74</v>
      </c>
      <c r="I271" t="s">
        <v>3763</v>
      </c>
      <c r="J271" t="s">
        <v>3764</v>
      </c>
      <c r="K271" t="s">
        <v>1111</v>
      </c>
      <c r="L271" t="s">
        <v>74</v>
      </c>
      <c r="M271" t="s">
        <v>77</v>
      </c>
      <c r="N271" t="s">
        <v>576</v>
      </c>
      <c r="O271" t="s">
        <v>3765</v>
      </c>
      <c r="P271" t="s">
        <v>1113</v>
      </c>
      <c r="Q271" t="s">
        <v>1114</v>
      </c>
      <c r="R271" t="s">
        <v>74</v>
      </c>
      <c r="S271" t="s">
        <v>74</v>
      </c>
      <c r="T271" t="s">
        <v>74</v>
      </c>
      <c r="U271" t="s">
        <v>3766</v>
      </c>
      <c r="V271" t="s">
        <v>3767</v>
      </c>
      <c r="W271" t="s">
        <v>3768</v>
      </c>
      <c r="X271" t="s">
        <v>2468</v>
      </c>
      <c r="Y271" t="s">
        <v>3769</v>
      </c>
      <c r="Z271" t="s">
        <v>74</v>
      </c>
      <c r="AA271" t="s">
        <v>74</v>
      </c>
      <c r="AB271" t="s">
        <v>74</v>
      </c>
      <c r="AC271" t="s">
        <v>74</v>
      </c>
      <c r="AD271" t="s">
        <v>74</v>
      </c>
      <c r="AE271" t="s">
        <v>74</v>
      </c>
      <c r="AF271" t="s">
        <v>74</v>
      </c>
      <c r="AG271">
        <v>11</v>
      </c>
      <c r="AH271">
        <v>3</v>
      </c>
      <c r="AI271">
        <v>4</v>
      </c>
      <c r="AJ271">
        <v>0</v>
      </c>
      <c r="AK271">
        <v>1</v>
      </c>
      <c r="AL271" t="s">
        <v>1120</v>
      </c>
      <c r="AM271" t="s">
        <v>1121</v>
      </c>
      <c r="AN271" t="s">
        <v>1122</v>
      </c>
      <c r="AO271" t="s">
        <v>1123</v>
      </c>
      <c r="AP271" t="s">
        <v>74</v>
      </c>
      <c r="AQ271" t="s">
        <v>74</v>
      </c>
      <c r="AR271" t="s">
        <v>1124</v>
      </c>
      <c r="AS271" t="s">
        <v>74</v>
      </c>
      <c r="AT271" t="s">
        <v>74</v>
      </c>
      <c r="AU271">
        <v>2001</v>
      </c>
      <c r="AV271">
        <v>27</v>
      </c>
      <c r="AW271">
        <v>12</v>
      </c>
      <c r="AX271" t="s">
        <v>74</v>
      </c>
      <c r="AY271" t="s">
        <v>74</v>
      </c>
      <c r="AZ271" t="s">
        <v>74</v>
      </c>
      <c r="BA271" t="s">
        <v>74</v>
      </c>
      <c r="BB271">
        <v>2013</v>
      </c>
      <c r="BC271">
        <v>2018</v>
      </c>
      <c r="BD271" t="s">
        <v>74</v>
      </c>
      <c r="BE271" t="s">
        <v>3770</v>
      </c>
      <c r="BF271" t="str">
        <f>HYPERLINK("http://dx.doi.org/10.1016/S0273-1177(01)00309-X","http://dx.doi.org/10.1016/S0273-1177(01)00309-X")</f>
        <v>http://dx.doi.org/10.1016/S0273-1177(01)00309-X</v>
      </c>
      <c r="BG271" t="s">
        <v>74</v>
      </c>
      <c r="BH271" t="s">
        <v>74</v>
      </c>
      <c r="BI271">
        <v>6</v>
      </c>
      <c r="BJ271" t="s">
        <v>1126</v>
      </c>
      <c r="BK271" t="s">
        <v>596</v>
      </c>
      <c r="BL271" t="s">
        <v>1127</v>
      </c>
      <c r="BM271" t="s">
        <v>3771</v>
      </c>
      <c r="BN271" t="s">
        <v>74</v>
      </c>
      <c r="BO271" t="s">
        <v>74</v>
      </c>
      <c r="BP271" t="s">
        <v>74</v>
      </c>
      <c r="BQ271" t="s">
        <v>74</v>
      </c>
      <c r="BR271" t="s">
        <v>97</v>
      </c>
      <c r="BS271" t="s">
        <v>3772</v>
      </c>
      <c r="BT271" t="str">
        <f>HYPERLINK("https%3A%2F%2Fwww.webofscience.com%2Fwos%2Fwoscc%2Ffull-record%2FWOS:000172223600013","View Full Record in Web of Science")</f>
        <v>View Full Record in Web of Science</v>
      </c>
    </row>
    <row r="272" spans="1:72" x14ac:dyDescent="0.15">
      <c r="A272" t="s">
        <v>209</v>
      </c>
      <c r="B272" t="s">
        <v>3773</v>
      </c>
      <c r="C272" t="s">
        <v>74</v>
      </c>
      <c r="D272" t="s">
        <v>3774</v>
      </c>
      <c r="E272" t="s">
        <v>74</v>
      </c>
      <c r="F272" t="s">
        <v>3773</v>
      </c>
      <c r="G272" t="s">
        <v>74</v>
      </c>
      <c r="H272" t="s">
        <v>74</v>
      </c>
      <c r="I272" t="s">
        <v>3775</v>
      </c>
      <c r="J272" t="s">
        <v>3776</v>
      </c>
      <c r="K272" t="s">
        <v>74</v>
      </c>
      <c r="L272" t="s">
        <v>74</v>
      </c>
      <c r="M272" t="s">
        <v>77</v>
      </c>
      <c r="N272" t="s">
        <v>214</v>
      </c>
      <c r="O272" t="s">
        <v>3777</v>
      </c>
      <c r="P272" t="s">
        <v>3778</v>
      </c>
      <c r="Q272" t="s">
        <v>3779</v>
      </c>
      <c r="R272" t="s">
        <v>74</v>
      </c>
      <c r="S272" t="s">
        <v>74</v>
      </c>
      <c r="T272" t="s">
        <v>74</v>
      </c>
      <c r="U272" t="s">
        <v>3780</v>
      </c>
      <c r="V272" t="s">
        <v>3781</v>
      </c>
      <c r="W272" t="s">
        <v>3782</v>
      </c>
      <c r="X272" t="s">
        <v>3783</v>
      </c>
      <c r="Y272" t="s">
        <v>3784</v>
      </c>
      <c r="Z272" t="s">
        <v>74</v>
      </c>
      <c r="AA272" t="s">
        <v>3785</v>
      </c>
      <c r="AB272" t="s">
        <v>3786</v>
      </c>
      <c r="AC272" t="s">
        <v>74</v>
      </c>
      <c r="AD272" t="s">
        <v>74</v>
      </c>
      <c r="AE272" t="s">
        <v>74</v>
      </c>
      <c r="AF272" t="s">
        <v>74</v>
      </c>
      <c r="AG272">
        <v>19</v>
      </c>
      <c r="AH272">
        <v>0</v>
      </c>
      <c r="AI272">
        <v>0</v>
      </c>
      <c r="AJ272">
        <v>0</v>
      </c>
      <c r="AK272">
        <v>0</v>
      </c>
      <c r="AL272" t="s">
        <v>3787</v>
      </c>
      <c r="AM272" t="s">
        <v>3788</v>
      </c>
      <c r="AN272" t="s">
        <v>3789</v>
      </c>
      <c r="AO272" t="s">
        <v>74</v>
      </c>
      <c r="AP272" t="s">
        <v>74</v>
      </c>
      <c r="AQ272" t="s">
        <v>3790</v>
      </c>
      <c r="AR272" t="s">
        <v>74</v>
      </c>
      <c r="AS272" t="s">
        <v>74</v>
      </c>
      <c r="AT272" t="s">
        <v>74</v>
      </c>
      <c r="AU272">
        <v>2001</v>
      </c>
      <c r="AV272" t="s">
        <v>74</v>
      </c>
      <c r="AW272" t="s">
        <v>74</v>
      </c>
      <c r="AX272" t="s">
        <v>74</v>
      </c>
      <c r="AY272" t="s">
        <v>74</v>
      </c>
      <c r="AZ272" t="s">
        <v>74</v>
      </c>
      <c r="BA272" t="s">
        <v>74</v>
      </c>
      <c r="BB272">
        <v>609</v>
      </c>
      <c r="BC272">
        <v>614</v>
      </c>
      <c r="BD272" t="s">
        <v>74</v>
      </c>
      <c r="BE272" t="s">
        <v>74</v>
      </c>
      <c r="BF272" t="s">
        <v>74</v>
      </c>
      <c r="BG272" t="s">
        <v>74</v>
      </c>
      <c r="BH272" t="s">
        <v>74</v>
      </c>
      <c r="BI272">
        <v>6</v>
      </c>
      <c r="BJ272" t="s">
        <v>2119</v>
      </c>
      <c r="BK272" t="s">
        <v>229</v>
      </c>
      <c r="BL272" t="s">
        <v>2119</v>
      </c>
      <c r="BM272" t="s">
        <v>3791</v>
      </c>
      <c r="BN272" t="s">
        <v>74</v>
      </c>
      <c r="BO272" t="s">
        <v>74</v>
      </c>
      <c r="BP272" t="s">
        <v>74</v>
      </c>
      <c r="BQ272" t="s">
        <v>74</v>
      </c>
      <c r="BR272" t="s">
        <v>97</v>
      </c>
      <c r="BS272" t="s">
        <v>3792</v>
      </c>
      <c r="BT272" t="str">
        <f>HYPERLINK("https%3A%2F%2Fwww.webofscience.com%2Fwos%2Fwoscc%2Ffull-record%2FWOS:000176015100076","View Full Record in Web of Science")</f>
        <v>View Full Record in Web of Science</v>
      </c>
    </row>
    <row r="273" spans="1:72" x14ac:dyDescent="0.15">
      <c r="A273" t="s">
        <v>209</v>
      </c>
      <c r="B273" t="s">
        <v>3793</v>
      </c>
      <c r="C273" t="s">
        <v>74</v>
      </c>
      <c r="D273" t="s">
        <v>3774</v>
      </c>
      <c r="E273" t="s">
        <v>74</v>
      </c>
      <c r="F273" t="s">
        <v>3793</v>
      </c>
      <c r="G273" t="s">
        <v>74</v>
      </c>
      <c r="H273" t="s">
        <v>74</v>
      </c>
      <c r="I273" t="s">
        <v>3794</v>
      </c>
      <c r="J273" t="s">
        <v>3776</v>
      </c>
      <c r="K273" t="s">
        <v>74</v>
      </c>
      <c r="L273" t="s">
        <v>74</v>
      </c>
      <c r="M273" t="s">
        <v>77</v>
      </c>
      <c r="N273" t="s">
        <v>214</v>
      </c>
      <c r="O273" t="s">
        <v>3777</v>
      </c>
      <c r="P273" t="s">
        <v>3778</v>
      </c>
      <c r="Q273" t="s">
        <v>3779</v>
      </c>
      <c r="R273" t="s">
        <v>74</v>
      </c>
      <c r="S273" t="s">
        <v>74</v>
      </c>
      <c r="T273" t="s">
        <v>74</v>
      </c>
      <c r="U273" t="s">
        <v>3795</v>
      </c>
      <c r="V273" t="s">
        <v>3796</v>
      </c>
      <c r="W273" t="s">
        <v>3797</v>
      </c>
      <c r="X273" t="s">
        <v>3783</v>
      </c>
      <c r="Y273" t="s">
        <v>3798</v>
      </c>
      <c r="Z273" t="s">
        <v>74</v>
      </c>
      <c r="AA273" t="s">
        <v>74</v>
      </c>
      <c r="AB273" t="s">
        <v>74</v>
      </c>
      <c r="AC273" t="s">
        <v>74</v>
      </c>
      <c r="AD273" t="s">
        <v>74</v>
      </c>
      <c r="AE273" t="s">
        <v>74</v>
      </c>
      <c r="AF273" t="s">
        <v>74</v>
      </c>
      <c r="AG273">
        <v>10</v>
      </c>
      <c r="AH273">
        <v>1</v>
      </c>
      <c r="AI273">
        <v>1</v>
      </c>
      <c r="AJ273">
        <v>0</v>
      </c>
      <c r="AK273">
        <v>4</v>
      </c>
      <c r="AL273" t="s">
        <v>3787</v>
      </c>
      <c r="AM273" t="s">
        <v>3788</v>
      </c>
      <c r="AN273" t="s">
        <v>3789</v>
      </c>
      <c r="AO273" t="s">
        <v>74</v>
      </c>
      <c r="AP273" t="s">
        <v>74</v>
      </c>
      <c r="AQ273" t="s">
        <v>3790</v>
      </c>
      <c r="AR273" t="s">
        <v>74</v>
      </c>
      <c r="AS273" t="s">
        <v>74</v>
      </c>
      <c r="AT273" t="s">
        <v>74</v>
      </c>
      <c r="AU273">
        <v>2001</v>
      </c>
      <c r="AV273" t="s">
        <v>74</v>
      </c>
      <c r="AW273" t="s">
        <v>74</v>
      </c>
      <c r="AX273" t="s">
        <v>74</v>
      </c>
      <c r="AY273" t="s">
        <v>74</v>
      </c>
      <c r="AZ273" t="s">
        <v>74</v>
      </c>
      <c r="BA273" t="s">
        <v>74</v>
      </c>
      <c r="BB273">
        <v>787</v>
      </c>
      <c r="BC273">
        <v>793</v>
      </c>
      <c r="BD273" t="s">
        <v>3799</v>
      </c>
      <c r="BE273" t="s">
        <v>74</v>
      </c>
      <c r="BF273" t="s">
        <v>74</v>
      </c>
      <c r="BG273" t="s">
        <v>74</v>
      </c>
      <c r="BH273" t="s">
        <v>74</v>
      </c>
      <c r="BI273">
        <v>7</v>
      </c>
      <c r="BJ273" t="s">
        <v>2119</v>
      </c>
      <c r="BK273" t="s">
        <v>229</v>
      </c>
      <c r="BL273" t="s">
        <v>2119</v>
      </c>
      <c r="BM273" t="s">
        <v>3791</v>
      </c>
      <c r="BN273" t="s">
        <v>74</v>
      </c>
      <c r="BO273" t="s">
        <v>74</v>
      </c>
      <c r="BP273" t="s">
        <v>74</v>
      </c>
      <c r="BQ273" t="s">
        <v>74</v>
      </c>
      <c r="BR273" t="s">
        <v>97</v>
      </c>
      <c r="BS273" t="s">
        <v>3800</v>
      </c>
      <c r="BT273" t="str">
        <f>HYPERLINK("https%3A%2F%2Fwww.webofscience.com%2Fwos%2Fwoscc%2Ffull-record%2FWOS:000176015100099","View Full Record in Web of Science")</f>
        <v>View Full Record in Web of Science</v>
      </c>
    </row>
    <row r="274" spans="1:72" x14ac:dyDescent="0.15">
      <c r="A274" t="s">
        <v>72</v>
      </c>
      <c r="B274" t="s">
        <v>3801</v>
      </c>
      <c r="C274" t="s">
        <v>74</v>
      </c>
      <c r="D274" t="s">
        <v>74</v>
      </c>
      <c r="E274" t="s">
        <v>74</v>
      </c>
      <c r="F274" t="s">
        <v>3801</v>
      </c>
      <c r="G274" t="s">
        <v>74</v>
      </c>
      <c r="H274" t="s">
        <v>74</v>
      </c>
      <c r="I274" t="s">
        <v>3802</v>
      </c>
      <c r="J274" t="s">
        <v>3803</v>
      </c>
      <c r="K274" t="s">
        <v>74</v>
      </c>
      <c r="L274" t="s">
        <v>74</v>
      </c>
      <c r="M274" t="s">
        <v>77</v>
      </c>
      <c r="N274" t="s">
        <v>78</v>
      </c>
      <c r="O274" t="s">
        <v>74</v>
      </c>
      <c r="P274" t="s">
        <v>74</v>
      </c>
      <c r="Q274" t="s">
        <v>74</v>
      </c>
      <c r="R274" t="s">
        <v>74</v>
      </c>
      <c r="S274" t="s">
        <v>74</v>
      </c>
      <c r="T274" t="s">
        <v>3804</v>
      </c>
      <c r="U274" t="s">
        <v>3805</v>
      </c>
      <c r="V274" t="s">
        <v>3806</v>
      </c>
      <c r="W274" t="s">
        <v>3807</v>
      </c>
      <c r="X274" t="s">
        <v>3808</v>
      </c>
      <c r="Y274" t="s">
        <v>3809</v>
      </c>
      <c r="Z274" t="s">
        <v>3810</v>
      </c>
      <c r="AA274" t="s">
        <v>3811</v>
      </c>
      <c r="AB274" t="s">
        <v>3812</v>
      </c>
      <c r="AC274" t="s">
        <v>74</v>
      </c>
      <c r="AD274" t="s">
        <v>74</v>
      </c>
      <c r="AE274" t="s">
        <v>74</v>
      </c>
      <c r="AF274" t="s">
        <v>74</v>
      </c>
      <c r="AG274">
        <v>62</v>
      </c>
      <c r="AH274">
        <v>31</v>
      </c>
      <c r="AI274">
        <v>33</v>
      </c>
      <c r="AJ274">
        <v>1</v>
      </c>
      <c r="AK274">
        <v>15</v>
      </c>
      <c r="AL274" t="s">
        <v>906</v>
      </c>
      <c r="AM274" t="s">
        <v>738</v>
      </c>
      <c r="AN274" t="s">
        <v>1253</v>
      </c>
      <c r="AO274" t="s">
        <v>3813</v>
      </c>
      <c r="AP274" t="s">
        <v>3814</v>
      </c>
      <c r="AQ274" t="s">
        <v>74</v>
      </c>
      <c r="AR274" t="s">
        <v>3815</v>
      </c>
      <c r="AS274" t="s">
        <v>3816</v>
      </c>
      <c r="AT274" t="s">
        <v>74</v>
      </c>
      <c r="AU274">
        <v>2001</v>
      </c>
      <c r="AV274">
        <v>68</v>
      </c>
      <c r="AW274">
        <v>3</v>
      </c>
      <c r="AX274" t="s">
        <v>74</v>
      </c>
      <c r="AY274" t="s">
        <v>74</v>
      </c>
      <c r="AZ274" t="s">
        <v>74</v>
      </c>
      <c r="BA274" t="s">
        <v>74</v>
      </c>
      <c r="BB274">
        <v>181</v>
      </c>
      <c r="BC274">
        <v>192</v>
      </c>
      <c r="BD274" t="s">
        <v>74</v>
      </c>
      <c r="BE274" t="s">
        <v>3817</v>
      </c>
      <c r="BF274" t="str">
        <f>HYPERLINK("http://dx.doi.org/10.1023/A:1012904402368","http://dx.doi.org/10.1023/A:1012904402368")</f>
        <v>http://dx.doi.org/10.1023/A:1012904402368</v>
      </c>
      <c r="BG274" t="s">
        <v>74</v>
      </c>
      <c r="BH274" t="s">
        <v>74</v>
      </c>
      <c r="BI274">
        <v>12</v>
      </c>
      <c r="BJ274" t="s">
        <v>3818</v>
      </c>
      <c r="BK274" t="s">
        <v>94</v>
      </c>
      <c r="BL274" t="s">
        <v>3818</v>
      </c>
      <c r="BM274" t="s">
        <v>3819</v>
      </c>
      <c r="BN274">
        <v>16228341</v>
      </c>
      <c r="BO274" t="s">
        <v>74</v>
      </c>
      <c r="BP274" t="s">
        <v>74</v>
      </c>
      <c r="BQ274" t="s">
        <v>74</v>
      </c>
      <c r="BR274" t="s">
        <v>97</v>
      </c>
      <c r="BS274" t="s">
        <v>3820</v>
      </c>
      <c r="BT274" t="str">
        <f>HYPERLINK("https%3A%2F%2Fwww.webofscience.com%2Fwos%2Fwoscc%2Ffull-record%2FWOS:000172384400001","View Full Record in Web of Science")</f>
        <v>View Full Record in Web of Science</v>
      </c>
    </row>
    <row r="275" spans="1:72" x14ac:dyDescent="0.15">
      <c r="A275" t="s">
        <v>72</v>
      </c>
      <c r="B275" t="s">
        <v>3821</v>
      </c>
      <c r="C275" t="s">
        <v>74</v>
      </c>
      <c r="D275" t="s">
        <v>74</v>
      </c>
      <c r="E275" t="s">
        <v>74</v>
      </c>
      <c r="F275" t="s">
        <v>3821</v>
      </c>
      <c r="G275" t="s">
        <v>74</v>
      </c>
      <c r="H275" t="s">
        <v>74</v>
      </c>
      <c r="I275" t="s">
        <v>3822</v>
      </c>
      <c r="J275" t="s">
        <v>3823</v>
      </c>
      <c r="K275" t="s">
        <v>74</v>
      </c>
      <c r="L275" t="s">
        <v>74</v>
      </c>
      <c r="M275" t="s">
        <v>77</v>
      </c>
      <c r="N275" t="s">
        <v>78</v>
      </c>
      <c r="O275" t="s">
        <v>74</v>
      </c>
      <c r="P275" t="s">
        <v>74</v>
      </c>
      <c r="Q275" t="s">
        <v>74</v>
      </c>
      <c r="R275" t="s">
        <v>74</v>
      </c>
      <c r="S275" t="s">
        <v>74</v>
      </c>
      <c r="T275" t="s">
        <v>74</v>
      </c>
      <c r="U275" t="s">
        <v>3824</v>
      </c>
      <c r="V275" t="s">
        <v>3825</v>
      </c>
      <c r="W275" t="s">
        <v>3826</v>
      </c>
      <c r="X275" t="s">
        <v>3827</v>
      </c>
      <c r="Y275" t="s">
        <v>3828</v>
      </c>
      <c r="Z275" t="s">
        <v>3829</v>
      </c>
      <c r="AA275" t="s">
        <v>3830</v>
      </c>
      <c r="AB275" t="s">
        <v>3831</v>
      </c>
      <c r="AC275" t="s">
        <v>74</v>
      </c>
      <c r="AD275" t="s">
        <v>74</v>
      </c>
      <c r="AE275" t="s">
        <v>74</v>
      </c>
      <c r="AF275" t="s">
        <v>74</v>
      </c>
      <c r="AG275">
        <v>73</v>
      </c>
      <c r="AH275">
        <v>112</v>
      </c>
      <c r="AI275">
        <v>122</v>
      </c>
      <c r="AJ275">
        <v>0</v>
      </c>
      <c r="AK275">
        <v>37</v>
      </c>
      <c r="AL275" t="s">
        <v>3292</v>
      </c>
      <c r="AM275" t="s">
        <v>3832</v>
      </c>
      <c r="AN275" t="s">
        <v>3833</v>
      </c>
      <c r="AO275" t="s">
        <v>3834</v>
      </c>
      <c r="AP275" t="s">
        <v>74</v>
      </c>
      <c r="AQ275" t="s">
        <v>74</v>
      </c>
      <c r="AR275" t="s">
        <v>3835</v>
      </c>
      <c r="AS275" t="s">
        <v>3836</v>
      </c>
      <c r="AT275" t="s">
        <v>91</v>
      </c>
      <c r="AU275">
        <v>2001</v>
      </c>
      <c r="AV275">
        <v>111</v>
      </c>
      <c r="AW275">
        <v>1</v>
      </c>
      <c r="AX275" t="s">
        <v>74</v>
      </c>
      <c r="AY275" t="s">
        <v>74</v>
      </c>
      <c r="AZ275" t="s">
        <v>74</v>
      </c>
      <c r="BA275" t="s">
        <v>74</v>
      </c>
      <c r="BB275">
        <v>55</v>
      </c>
      <c r="BC275">
        <v>65</v>
      </c>
      <c r="BD275" t="s">
        <v>74</v>
      </c>
      <c r="BE275" t="s">
        <v>3837</v>
      </c>
      <c r="BF275" t="str">
        <f>HYPERLINK("http://dx.doi.org/10.1034/j.1399-3054.2001.1110108.x","http://dx.doi.org/10.1034/j.1399-3054.2001.1110108.x")</f>
        <v>http://dx.doi.org/10.1034/j.1399-3054.2001.1110108.x</v>
      </c>
      <c r="BG275" t="s">
        <v>74</v>
      </c>
      <c r="BH275" t="s">
        <v>74</v>
      </c>
      <c r="BI275">
        <v>11</v>
      </c>
      <c r="BJ275" t="s">
        <v>3818</v>
      </c>
      <c r="BK275" t="s">
        <v>94</v>
      </c>
      <c r="BL275" t="s">
        <v>3818</v>
      </c>
      <c r="BM275" t="s">
        <v>3838</v>
      </c>
      <c r="BN275" t="s">
        <v>74</v>
      </c>
      <c r="BO275" t="s">
        <v>74</v>
      </c>
      <c r="BP275" t="s">
        <v>74</v>
      </c>
      <c r="BQ275" t="s">
        <v>74</v>
      </c>
      <c r="BR275" t="s">
        <v>97</v>
      </c>
      <c r="BS275" t="s">
        <v>3839</v>
      </c>
      <c r="BT275" t="str">
        <f>HYPERLINK("https%3A%2F%2Fwww.webofscience.com%2Fwos%2Fwoscc%2Ffull-record%2FWOS:000166377700008","View Full Record in Web of Science")</f>
        <v>View Full Record in Web of Science</v>
      </c>
    </row>
    <row r="276" spans="1:72" x14ac:dyDescent="0.15">
      <c r="A276" t="s">
        <v>72</v>
      </c>
      <c r="B276" t="s">
        <v>3840</v>
      </c>
      <c r="C276" t="s">
        <v>74</v>
      </c>
      <c r="D276" t="s">
        <v>74</v>
      </c>
      <c r="E276" t="s">
        <v>74</v>
      </c>
      <c r="F276" t="s">
        <v>3840</v>
      </c>
      <c r="G276" t="s">
        <v>74</v>
      </c>
      <c r="H276" t="s">
        <v>74</v>
      </c>
      <c r="I276" t="s">
        <v>3841</v>
      </c>
      <c r="J276" t="s">
        <v>3842</v>
      </c>
      <c r="K276" t="s">
        <v>74</v>
      </c>
      <c r="L276" t="s">
        <v>74</v>
      </c>
      <c r="M276" t="s">
        <v>77</v>
      </c>
      <c r="N276" t="s">
        <v>78</v>
      </c>
      <c r="O276" t="s">
        <v>74</v>
      </c>
      <c r="P276" t="s">
        <v>74</v>
      </c>
      <c r="Q276" t="s">
        <v>74</v>
      </c>
      <c r="R276" t="s">
        <v>74</v>
      </c>
      <c r="S276" t="s">
        <v>74</v>
      </c>
      <c r="T276" t="s">
        <v>74</v>
      </c>
      <c r="U276" t="s">
        <v>3843</v>
      </c>
      <c r="V276" t="s">
        <v>3844</v>
      </c>
      <c r="W276" t="s">
        <v>3845</v>
      </c>
      <c r="X276" t="s">
        <v>3675</v>
      </c>
      <c r="Y276" t="s">
        <v>3846</v>
      </c>
      <c r="Z276" t="s">
        <v>74</v>
      </c>
      <c r="AA276" t="s">
        <v>74</v>
      </c>
      <c r="AB276" t="s">
        <v>3847</v>
      </c>
      <c r="AC276" t="s">
        <v>74</v>
      </c>
      <c r="AD276" t="s">
        <v>74</v>
      </c>
      <c r="AE276" t="s">
        <v>74</v>
      </c>
      <c r="AF276" t="s">
        <v>74</v>
      </c>
      <c r="AG276">
        <v>34</v>
      </c>
      <c r="AH276">
        <v>34</v>
      </c>
      <c r="AI276">
        <v>37</v>
      </c>
      <c r="AJ276">
        <v>1</v>
      </c>
      <c r="AK276">
        <v>12</v>
      </c>
      <c r="AL276" t="s">
        <v>159</v>
      </c>
      <c r="AM276" t="s">
        <v>160</v>
      </c>
      <c r="AN276" t="s">
        <v>161</v>
      </c>
      <c r="AO276" t="s">
        <v>3848</v>
      </c>
      <c r="AP276" t="s">
        <v>74</v>
      </c>
      <c r="AQ276" t="s">
        <v>74</v>
      </c>
      <c r="AR276" t="s">
        <v>3849</v>
      </c>
      <c r="AS276" t="s">
        <v>3850</v>
      </c>
      <c r="AT276" t="s">
        <v>91</v>
      </c>
      <c r="AU276">
        <v>2001</v>
      </c>
      <c r="AV276">
        <v>24</v>
      </c>
      <c r="AW276">
        <v>1</v>
      </c>
      <c r="AX276" t="s">
        <v>74</v>
      </c>
      <c r="AY276" t="s">
        <v>74</v>
      </c>
      <c r="AZ276" t="s">
        <v>74</v>
      </c>
      <c r="BA276" t="s">
        <v>74</v>
      </c>
      <c r="BB276">
        <v>1</v>
      </c>
      <c r="BC276">
        <v>8</v>
      </c>
      <c r="BD276" t="s">
        <v>74</v>
      </c>
      <c r="BE276" t="s">
        <v>3851</v>
      </c>
      <c r="BF276" t="str">
        <f>HYPERLINK("http://dx.doi.org/10.1007/s003000000156","http://dx.doi.org/10.1007/s003000000156")</f>
        <v>http://dx.doi.org/10.1007/s003000000156</v>
      </c>
      <c r="BG276" t="s">
        <v>74</v>
      </c>
      <c r="BH276" t="s">
        <v>74</v>
      </c>
      <c r="BI276">
        <v>8</v>
      </c>
      <c r="BJ276" t="s">
        <v>3852</v>
      </c>
      <c r="BK276" t="s">
        <v>94</v>
      </c>
      <c r="BL276" t="s">
        <v>1103</v>
      </c>
      <c r="BM276" t="s">
        <v>3853</v>
      </c>
      <c r="BN276" t="s">
        <v>74</v>
      </c>
      <c r="BO276" t="s">
        <v>74</v>
      </c>
      <c r="BP276" t="s">
        <v>74</v>
      </c>
      <c r="BQ276" t="s">
        <v>74</v>
      </c>
      <c r="BR276" t="s">
        <v>97</v>
      </c>
      <c r="BS276" t="s">
        <v>3854</v>
      </c>
      <c r="BT276" t="str">
        <f>HYPERLINK("https%3A%2F%2Fwww.webofscience.com%2Fwos%2Fwoscc%2Ffull-record%2FWOS:000166077500001","View Full Record in Web of Science")</f>
        <v>View Full Record in Web of Science</v>
      </c>
    </row>
    <row r="277" spans="1:72" x14ac:dyDescent="0.15">
      <c r="A277" t="s">
        <v>72</v>
      </c>
      <c r="B277" t="s">
        <v>3855</v>
      </c>
      <c r="C277" t="s">
        <v>74</v>
      </c>
      <c r="D277" t="s">
        <v>74</v>
      </c>
      <c r="E277" t="s">
        <v>74</v>
      </c>
      <c r="F277" t="s">
        <v>3855</v>
      </c>
      <c r="G277" t="s">
        <v>74</v>
      </c>
      <c r="H277" t="s">
        <v>74</v>
      </c>
      <c r="I277" t="s">
        <v>3856</v>
      </c>
      <c r="J277" t="s">
        <v>3842</v>
      </c>
      <c r="K277" t="s">
        <v>74</v>
      </c>
      <c r="L277" t="s">
        <v>74</v>
      </c>
      <c r="M277" t="s">
        <v>77</v>
      </c>
      <c r="N277" t="s">
        <v>78</v>
      </c>
      <c r="O277" t="s">
        <v>74</v>
      </c>
      <c r="P277" t="s">
        <v>74</v>
      </c>
      <c r="Q277" t="s">
        <v>74</v>
      </c>
      <c r="R277" t="s">
        <v>74</v>
      </c>
      <c r="S277" t="s">
        <v>74</v>
      </c>
      <c r="T277" t="s">
        <v>74</v>
      </c>
      <c r="U277" t="s">
        <v>3857</v>
      </c>
      <c r="V277" t="s">
        <v>3858</v>
      </c>
      <c r="W277" t="s">
        <v>3859</v>
      </c>
      <c r="X277" t="s">
        <v>3675</v>
      </c>
      <c r="Y277" t="s">
        <v>3860</v>
      </c>
      <c r="Z277" t="s">
        <v>3861</v>
      </c>
      <c r="AA277" t="s">
        <v>3862</v>
      </c>
      <c r="AB277" t="s">
        <v>74</v>
      </c>
      <c r="AC277" t="s">
        <v>74</v>
      </c>
      <c r="AD277" t="s">
        <v>74</v>
      </c>
      <c r="AE277" t="s">
        <v>74</v>
      </c>
      <c r="AF277" t="s">
        <v>74</v>
      </c>
      <c r="AG277">
        <v>35</v>
      </c>
      <c r="AH277">
        <v>5</v>
      </c>
      <c r="AI277">
        <v>5</v>
      </c>
      <c r="AJ277">
        <v>2</v>
      </c>
      <c r="AK277">
        <v>11</v>
      </c>
      <c r="AL277" t="s">
        <v>906</v>
      </c>
      <c r="AM277" t="s">
        <v>160</v>
      </c>
      <c r="AN277" t="s">
        <v>890</v>
      </c>
      <c r="AO277" t="s">
        <v>3848</v>
      </c>
      <c r="AP277" t="s">
        <v>74</v>
      </c>
      <c r="AQ277" t="s">
        <v>74</v>
      </c>
      <c r="AR277" t="s">
        <v>3849</v>
      </c>
      <c r="AS277" t="s">
        <v>3850</v>
      </c>
      <c r="AT277" t="s">
        <v>91</v>
      </c>
      <c r="AU277">
        <v>2001</v>
      </c>
      <c r="AV277">
        <v>24</v>
      </c>
      <c r="AW277">
        <v>1</v>
      </c>
      <c r="AX277" t="s">
        <v>74</v>
      </c>
      <c r="AY277" t="s">
        <v>74</v>
      </c>
      <c r="AZ277" t="s">
        <v>74</v>
      </c>
      <c r="BA277" t="s">
        <v>74</v>
      </c>
      <c r="BB277">
        <v>9</v>
      </c>
      <c r="BC277">
        <v>15</v>
      </c>
      <c r="BD277" t="s">
        <v>74</v>
      </c>
      <c r="BE277" t="s">
        <v>3863</v>
      </c>
      <c r="BF277" t="str">
        <f>HYPERLINK("http://dx.doi.org/10.1007/s003000000166","http://dx.doi.org/10.1007/s003000000166")</f>
        <v>http://dx.doi.org/10.1007/s003000000166</v>
      </c>
      <c r="BG277" t="s">
        <v>74</v>
      </c>
      <c r="BH277" t="s">
        <v>74</v>
      </c>
      <c r="BI277">
        <v>7</v>
      </c>
      <c r="BJ277" t="s">
        <v>3852</v>
      </c>
      <c r="BK277" t="s">
        <v>94</v>
      </c>
      <c r="BL277" t="s">
        <v>1103</v>
      </c>
      <c r="BM277" t="s">
        <v>3853</v>
      </c>
      <c r="BN277" t="s">
        <v>74</v>
      </c>
      <c r="BO277" t="s">
        <v>74</v>
      </c>
      <c r="BP277" t="s">
        <v>74</v>
      </c>
      <c r="BQ277" t="s">
        <v>74</v>
      </c>
      <c r="BR277" t="s">
        <v>97</v>
      </c>
      <c r="BS277" t="s">
        <v>3864</v>
      </c>
      <c r="BT277" t="str">
        <f>HYPERLINK("https%3A%2F%2Fwww.webofscience.com%2Fwos%2Fwoscc%2Ffull-record%2FWOS:000166077500002","View Full Record in Web of Science")</f>
        <v>View Full Record in Web of Science</v>
      </c>
    </row>
    <row r="278" spans="1:72" x14ac:dyDescent="0.15">
      <c r="A278" t="s">
        <v>72</v>
      </c>
      <c r="B278" t="s">
        <v>3865</v>
      </c>
      <c r="C278" t="s">
        <v>74</v>
      </c>
      <c r="D278" t="s">
        <v>74</v>
      </c>
      <c r="E278" t="s">
        <v>74</v>
      </c>
      <c r="F278" t="s">
        <v>3865</v>
      </c>
      <c r="G278" t="s">
        <v>74</v>
      </c>
      <c r="H278" t="s">
        <v>74</v>
      </c>
      <c r="I278" t="s">
        <v>3866</v>
      </c>
      <c r="J278" t="s">
        <v>3842</v>
      </c>
      <c r="K278" t="s">
        <v>74</v>
      </c>
      <c r="L278" t="s">
        <v>74</v>
      </c>
      <c r="M278" t="s">
        <v>77</v>
      </c>
      <c r="N278" t="s">
        <v>78</v>
      </c>
      <c r="O278" t="s">
        <v>74</v>
      </c>
      <c r="P278" t="s">
        <v>74</v>
      </c>
      <c r="Q278" t="s">
        <v>74</v>
      </c>
      <c r="R278" t="s">
        <v>74</v>
      </c>
      <c r="S278" t="s">
        <v>74</v>
      </c>
      <c r="T278" t="s">
        <v>74</v>
      </c>
      <c r="U278" t="s">
        <v>3867</v>
      </c>
      <c r="V278" t="s">
        <v>3868</v>
      </c>
      <c r="W278" t="s">
        <v>3869</v>
      </c>
      <c r="X278" t="s">
        <v>667</v>
      </c>
      <c r="Y278" t="s">
        <v>1291</v>
      </c>
      <c r="Z278" t="s">
        <v>3870</v>
      </c>
      <c r="AA278" t="s">
        <v>74</v>
      </c>
      <c r="AB278" t="s">
        <v>74</v>
      </c>
      <c r="AC278" t="s">
        <v>74</v>
      </c>
      <c r="AD278" t="s">
        <v>74</v>
      </c>
      <c r="AE278" t="s">
        <v>74</v>
      </c>
      <c r="AF278" t="s">
        <v>74</v>
      </c>
      <c r="AG278">
        <v>21</v>
      </c>
      <c r="AH278">
        <v>41</v>
      </c>
      <c r="AI278">
        <v>45</v>
      </c>
      <c r="AJ278">
        <v>0</v>
      </c>
      <c r="AK278">
        <v>14</v>
      </c>
      <c r="AL278" t="s">
        <v>906</v>
      </c>
      <c r="AM278" t="s">
        <v>160</v>
      </c>
      <c r="AN278" t="s">
        <v>928</v>
      </c>
      <c r="AO278" t="s">
        <v>3848</v>
      </c>
      <c r="AP278" t="s">
        <v>3871</v>
      </c>
      <c r="AQ278" t="s">
        <v>74</v>
      </c>
      <c r="AR278" t="s">
        <v>3849</v>
      </c>
      <c r="AS278" t="s">
        <v>3850</v>
      </c>
      <c r="AT278" t="s">
        <v>91</v>
      </c>
      <c r="AU278">
        <v>2001</v>
      </c>
      <c r="AV278">
        <v>24</v>
      </c>
      <c r="AW278">
        <v>1</v>
      </c>
      <c r="AX278" t="s">
        <v>74</v>
      </c>
      <c r="AY278" t="s">
        <v>74</v>
      </c>
      <c r="AZ278" t="s">
        <v>74</v>
      </c>
      <c r="BA278" t="s">
        <v>74</v>
      </c>
      <c r="BB278">
        <v>16</v>
      </c>
      <c r="BC278">
        <v>20</v>
      </c>
      <c r="BD278" t="s">
        <v>74</v>
      </c>
      <c r="BE278" t="s">
        <v>3872</v>
      </c>
      <c r="BF278" t="str">
        <f>HYPERLINK("http://dx.doi.org/10.1007/s003000000168","http://dx.doi.org/10.1007/s003000000168")</f>
        <v>http://dx.doi.org/10.1007/s003000000168</v>
      </c>
      <c r="BG278" t="s">
        <v>74</v>
      </c>
      <c r="BH278" t="s">
        <v>74</v>
      </c>
      <c r="BI278">
        <v>5</v>
      </c>
      <c r="BJ278" t="s">
        <v>3852</v>
      </c>
      <c r="BK278" t="s">
        <v>94</v>
      </c>
      <c r="BL278" t="s">
        <v>1103</v>
      </c>
      <c r="BM278" t="s">
        <v>3853</v>
      </c>
      <c r="BN278" t="s">
        <v>74</v>
      </c>
      <c r="BO278" t="s">
        <v>74</v>
      </c>
      <c r="BP278" t="s">
        <v>74</v>
      </c>
      <c r="BQ278" t="s">
        <v>74</v>
      </c>
      <c r="BR278" t="s">
        <v>97</v>
      </c>
      <c r="BS278" t="s">
        <v>3873</v>
      </c>
      <c r="BT278" t="str">
        <f>HYPERLINK("https%3A%2F%2Fwww.webofscience.com%2Fwos%2Fwoscc%2Ffull-record%2FWOS:000166077500003","View Full Record in Web of Science")</f>
        <v>View Full Record in Web of Science</v>
      </c>
    </row>
    <row r="279" spans="1:72" x14ac:dyDescent="0.15">
      <c r="A279" t="s">
        <v>72</v>
      </c>
      <c r="B279" t="s">
        <v>3874</v>
      </c>
      <c r="C279" t="s">
        <v>74</v>
      </c>
      <c r="D279" t="s">
        <v>74</v>
      </c>
      <c r="E279" t="s">
        <v>74</v>
      </c>
      <c r="F279" t="s">
        <v>3874</v>
      </c>
      <c r="G279" t="s">
        <v>74</v>
      </c>
      <c r="H279" t="s">
        <v>74</v>
      </c>
      <c r="I279" t="s">
        <v>3875</v>
      </c>
      <c r="J279" t="s">
        <v>3842</v>
      </c>
      <c r="K279" t="s">
        <v>74</v>
      </c>
      <c r="L279" t="s">
        <v>74</v>
      </c>
      <c r="M279" t="s">
        <v>77</v>
      </c>
      <c r="N279" t="s">
        <v>78</v>
      </c>
      <c r="O279" t="s">
        <v>74</v>
      </c>
      <c r="P279" t="s">
        <v>74</v>
      </c>
      <c r="Q279" t="s">
        <v>74</v>
      </c>
      <c r="R279" t="s">
        <v>74</v>
      </c>
      <c r="S279" t="s">
        <v>74</v>
      </c>
      <c r="T279" t="s">
        <v>74</v>
      </c>
      <c r="U279" t="s">
        <v>3876</v>
      </c>
      <c r="V279" t="s">
        <v>3877</v>
      </c>
      <c r="W279" t="s">
        <v>3878</v>
      </c>
      <c r="X279" t="s">
        <v>2879</v>
      </c>
      <c r="Y279" t="s">
        <v>3879</v>
      </c>
      <c r="Z279" t="s">
        <v>3880</v>
      </c>
      <c r="AA279" t="s">
        <v>74</v>
      </c>
      <c r="AB279" t="s">
        <v>74</v>
      </c>
      <c r="AC279" t="s">
        <v>74</v>
      </c>
      <c r="AD279" t="s">
        <v>74</v>
      </c>
      <c r="AE279" t="s">
        <v>74</v>
      </c>
      <c r="AF279" t="s">
        <v>74</v>
      </c>
      <c r="AG279">
        <v>18</v>
      </c>
      <c r="AH279">
        <v>11</v>
      </c>
      <c r="AI279">
        <v>11</v>
      </c>
      <c r="AJ279">
        <v>0</v>
      </c>
      <c r="AK279">
        <v>1</v>
      </c>
      <c r="AL279" t="s">
        <v>906</v>
      </c>
      <c r="AM279" t="s">
        <v>160</v>
      </c>
      <c r="AN279" t="s">
        <v>890</v>
      </c>
      <c r="AO279" t="s">
        <v>3848</v>
      </c>
      <c r="AP279" t="s">
        <v>3871</v>
      </c>
      <c r="AQ279" t="s">
        <v>74</v>
      </c>
      <c r="AR279" t="s">
        <v>3849</v>
      </c>
      <c r="AS279" t="s">
        <v>3850</v>
      </c>
      <c r="AT279" t="s">
        <v>91</v>
      </c>
      <c r="AU279">
        <v>2001</v>
      </c>
      <c r="AV279">
        <v>24</v>
      </c>
      <c r="AW279">
        <v>1</v>
      </c>
      <c r="AX279" t="s">
        <v>74</v>
      </c>
      <c r="AY279" t="s">
        <v>74</v>
      </c>
      <c r="AZ279" t="s">
        <v>74</v>
      </c>
      <c r="BA279" t="s">
        <v>74</v>
      </c>
      <c r="BB279">
        <v>66</v>
      </c>
      <c r="BC279">
        <v>69</v>
      </c>
      <c r="BD279" t="s">
        <v>74</v>
      </c>
      <c r="BE279" t="s">
        <v>3881</v>
      </c>
      <c r="BF279" t="str">
        <f>HYPERLINK("http://dx.doi.org/10.1007/s003000000181","http://dx.doi.org/10.1007/s003000000181")</f>
        <v>http://dx.doi.org/10.1007/s003000000181</v>
      </c>
      <c r="BG279" t="s">
        <v>74</v>
      </c>
      <c r="BH279" t="s">
        <v>74</v>
      </c>
      <c r="BI279">
        <v>4</v>
      </c>
      <c r="BJ279" t="s">
        <v>3852</v>
      </c>
      <c r="BK279" t="s">
        <v>94</v>
      </c>
      <c r="BL279" t="s">
        <v>1103</v>
      </c>
      <c r="BM279" t="s">
        <v>3853</v>
      </c>
      <c r="BN279" t="s">
        <v>74</v>
      </c>
      <c r="BO279" t="s">
        <v>74</v>
      </c>
      <c r="BP279" t="s">
        <v>74</v>
      </c>
      <c r="BQ279" t="s">
        <v>74</v>
      </c>
      <c r="BR279" t="s">
        <v>97</v>
      </c>
      <c r="BS279" t="s">
        <v>3882</v>
      </c>
      <c r="BT279" t="str">
        <f>HYPERLINK("https%3A%2F%2Fwww.webofscience.com%2Fwos%2Fwoscc%2Ffull-record%2FWOS:000166077500011","View Full Record in Web of Science")</f>
        <v>View Full Record in Web of Science</v>
      </c>
    </row>
    <row r="280" spans="1:72" x14ac:dyDescent="0.15">
      <c r="A280" t="s">
        <v>72</v>
      </c>
      <c r="B280" t="s">
        <v>3883</v>
      </c>
      <c r="C280" t="s">
        <v>74</v>
      </c>
      <c r="D280" t="s">
        <v>74</v>
      </c>
      <c r="E280" t="s">
        <v>74</v>
      </c>
      <c r="F280" t="s">
        <v>3883</v>
      </c>
      <c r="G280" t="s">
        <v>74</v>
      </c>
      <c r="H280" t="s">
        <v>74</v>
      </c>
      <c r="I280" t="s">
        <v>3884</v>
      </c>
      <c r="J280" t="s">
        <v>3885</v>
      </c>
      <c r="K280" t="s">
        <v>74</v>
      </c>
      <c r="L280" t="s">
        <v>74</v>
      </c>
      <c r="M280" t="s">
        <v>77</v>
      </c>
      <c r="N280" t="s">
        <v>576</v>
      </c>
      <c r="O280" t="s">
        <v>3886</v>
      </c>
      <c r="P280" t="s">
        <v>3887</v>
      </c>
      <c r="Q280" t="s">
        <v>3888</v>
      </c>
      <c r="R280" t="s">
        <v>74</v>
      </c>
      <c r="S280" t="s">
        <v>74</v>
      </c>
      <c r="T280" t="s">
        <v>74</v>
      </c>
      <c r="U280" t="s">
        <v>3889</v>
      </c>
      <c r="V280" t="s">
        <v>3890</v>
      </c>
      <c r="W280" t="s">
        <v>3891</v>
      </c>
      <c r="X280" t="s">
        <v>3892</v>
      </c>
      <c r="Y280" t="s">
        <v>3893</v>
      </c>
      <c r="Z280" t="s">
        <v>74</v>
      </c>
      <c r="AA280" t="s">
        <v>3894</v>
      </c>
      <c r="AB280" t="s">
        <v>3895</v>
      </c>
      <c r="AC280" t="s">
        <v>74</v>
      </c>
      <c r="AD280" t="s">
        <v>74</v>
      </c>
      <c r="AE280" t="s">
        <v>74</v>
      </c>
      <c r="AF280" t="s">
        <v>74</v>
      </c>
      <c r="AG280">
        <v>20</v>
      </c>
      <c r="AH280">
        <v>21</v>
      </c>
      <c r="AI280">
        <v>24</v>
      </c>
      <c r="AJ280">
        <v>1</v>
      </c>
      <c r="AK280">
        <v>5</v>
      </c>
      <c r="AL280" t="s">
        <v>3896</v>
      </c>
      <c r="AM280" t="s">
        <v>3897</v>
      </c>
      <c r="AN280" t="s">
        <v>3898</v>
      </c>
      <c r="AO280" t="s">
        <v>3899</v>
      </c>
      <c r="AP280" t="s">
        <v>74</v>
      </c>
      <c r="AQ280" t="s">
        <v>74</v>
      </c>
      <c r="AR280" t="s">
        <v>3900</v>
      </c>
      <c r="AS280" t="s">
        <v>3901</v>
      </c>
      <c r="AT280" t="s">
        <v>74</v>
      </c>
      <c r="AU280">
        <v>2001</v>
      </c>
      <c r="AV280">
        <v>20</v>
      </c>
      <c r="AW280">
        <v>2</v>
      </c>
      <c r="AX280" t="s">
        <v>74</v>
      </c>
      <c r="AY280" t="s">
        <v>74</v>
      </c>
      <c r="AZ280" t="s">
        <v>74</v>
      </c>
      <c r="BA280" t="s">
        <v>74</v>
      </c>
      <c r="BB280">
        <v>201</v>
      </c>
      <c r="BC280">
        <v>208</v>
      </c>
      <c r="BD280" t="s">
        <v>74</v>
      </c>
      <c r="BE280" t="s">
        <v>3902</v>
      </c>
      <c r="BF280" t="str">
        <f>HYPERLINK("http://dx.doi.org/10.1111/j.1751-8369.2001.tb00057.x","http://dx.doi.org/10.1111/j.1751-8369.2001.tb00057.x")</f>
        <v>http://dx.doi.org/10.1111/j.1751-8369.2001.tb00057.x</v>
      </c>
      <c r="BG280" t="s">
        <v>74</v>
      </c>
      <c r="BH280" t="s">
        <v>74</v>
      </c>
      <c r="BI280">
        <v>8</v>
      </c>
      <c r="BJ280" t="s">
        <v>3903</v>
      </c>
      <c r="BK280" t="s">
        <v>596</v>
      </c>
      <c r="BL280" t="s">
        <v>3904</v>
      </c>
      <c r="BM280" t="s">
        <v>3905</v>
      </c>
      <c r="BN280" t="s">
        <v>74</v>
      </c>
      <c r="BO280" t="s">
        <v>74</v>
      </c>
      <c r="BP280" t="s">
        <v>74</v>
      </c>
      <c r="BQ280" t="s">
        <v>74</v>
      </c>
      <c r="BR280" t="s">
        <v>97</v>
      </c>
      <c r="BS280" t="s">
        <v>3906</v>
      </c>
      <c r="BT280" t="str">
        <f>HYPERLINK("https%3A%2F%2Fwww.webofscience.com%2Fwos%2Fwoscc%2Ffull-record%2FWOS:000173396700012","View Full Record in Web of Science")</f>
        <v>View Full Record in Web of Science</v>
      </c>
    </row>
    <row r="281" spans="1:72" x14ac:dyDescent="0.15">
      <c r="A281" t="s">
        <v>209</v>
      </c>
      <c r="B281" t="s">
        <v>3907</v>
      </c>
      <c r="C281" t="s">
        <v>74</v>
      </c>
      <c r="D281" t="s">
        <v>3908</v>
      </c>
      <c r="E281" t="s">
        <v>74</v>
      </c>
      <c r="F281" t="s">
        <v>3907</v>
      </c>
      <c r="G281" t="s">
        <v>74</v>
      </c>
      <c r="H281" t="s">
        <v>74</v>
      </c>
      <c r="I281" t="s">
        <v>3909</v>
      </c>
      <c r="J281" t="s">
        <v>3910</v>
      </c>
      <c r="K281" t="s">
        <v>74</v>
      </c>
      <c r="L281" t="s">
        <v>74</v>
      </c>
      <c r="M281" t="s">
        <v>77</v>
      </c>
      <c r="N281" t="s">
        <v>214</v>
      </c>
      <c r="O281" t="s">
        <v>3911</v>
      </c>
      <c r="P281" t="s">
        <v>3912</v>
      </c>
      <c r="Q281" t="s">
        <v>3913</v>
      </c>
      <c r="R281" t="s">
        <v>74</v>
      </c>
      <c r="S281" t="s">
        <v>74</v>
      </c>
      <c r="T281" t="s">
        <v>3914</v>
      </c>
      <c r="U281" t="s">
        <v>74</v>
      </c>
      <c r="V281" t="s">
        <v>3915</v>
      </c>
      <c r="W281" t="s">
        <v>3916</v>
      </c>
      <c r="X281" t="s">
        <v>3917</v>
      </c>
      <c r="Y281" t="s">
        <v>3918</v>
      </c>
      <c r="Z281" t="s">
        <v>74</v>
      </c>
      <c r="AA281" t="s">
        <v>74</v>
      </c>
      <c r="AB281" t="s">
        <v>74</v>
      </c>
      <c r="AC281" t="s">
        <v>74</v>
      </c>
      <c r="AD281" t="s">
        <v>74</v>
      </c>
      <c r="AE281" t="s">
        <v>74</v>
      </c>
      <c r="AF281" t="s">
        <v>74</v>
      </c>
      <c r="AG281">
        <v>0</v>
      </c>
      <c r="AH281">
        <v>0</v>
      </c>
      <c r="AI281">
        <v>0</v>
      </c>
      <c r="AJ281">
        <v>0</v>
      </c>
      <c r="AK281">
        <v>0</v>
      </c>
      <c r="AL281" t="s">
        <v>85</v>
      </c>
      <c r="AM281" t="s">
        <v>3919</v>
      </c>
      <c r="AN281" t="s">
        <v>3920</v>
      </c>
      <c r="AO281" t="s">
        <v>74</v>
      </c>
      <c r="AP281" t="s">
        <v>74</v>
      </c>
      <c r="AQ281" t="s">
        <v>3921</v>
      </c>
      <c r="AR281" t="s">
        <v>74</v>
      </c>
      <c r="AS281" t="s">
        <v>74</v>
      </c>
      <c r="AT281" t="s">
        <v>74</v>
      </c>
      <c r="AU281">
        <v>2001</v>
      </c>
      <c r="AV281" t="s">
        <v>74</v>
      </c>
      <c r="AW281" t="s">
        <v>74</v>
      </c>
      <c r="AX281" t="s">
        <v>74</v>
      </c>
      <c r="AY281" t="s">
        <v>74</v>
      </c>
      <c r="AZ281" t="s">
        <v>74</v>
      </c>
      <c r="BA281" t="s">
        <v>74</v>
      </c>
      <c r="BB281">
        <v>570</v>
      </c>
      <c r="BC281">
        <v>571</v>
      </c>
      <c r="BD281" t="s">
        <v>74</v>
      </c>
      <c r="BE281" t="s">
        <v>74</v>
      </c>
      <c r="BF281" t="s">
        <v>74</v>
      </c>
      <c r="BG281" t="s">
        <v>74</v>
      </c>
      <c r="BH281" t="s">
        <v>74</v>
      </c>
      <c r="BI281">
        <v>2</v>
      </c>
      <c r="BJ281" t="s">
        <v>3922</v>
      </c>
      <c r="BK281" t="s">
        <v>229</v>
      </c>
      <c r="BL281" t="s">
        <v>3923</v>
      </c>
      <c r="BM281" t="s">
        <v>3924</v>
      </c>
      <c r="BN281" t="s">
        <v>74</v>
      </c>
      <c r="BO281" t="s">
        <v>74</v>
      </c>
      <c r="BP281" t="s">
        <v>74</v>
      </c>
      <c r="BQ281" t="s">
        <v>74</v>
      </c>
      <c r="BR281" t="s">
        <v>97</v>
      </c>
      <c r="BS281" t="s">
        <v>3925</v>
      </c>
      <c r="BT281" t="str">
        <f>HYPERLINK("https%3A%2F%2Fwww.webofscience.com%2Fwos%2Fwoscc%2Ffull-record%2FWOS:000176592500151","View Full Record in Web of Science")</f>
        <v>View Full Record in Web of Science</v>
      </c>
    </row>
    <row r="282" spans="1:72" x14ac:dyDescent="0.15">
      <c r="A282" t="s">
        <v>209</v>
      </c>
      <c r="B282" t="s">
        <v>3926</v>
      </c>
      <c r="C282" t="s">
        <v>74</v>
      </c>
      <c r="D282" t="s">
        <v>3927</v>
      </c>
      <c r="E282" t="s">
        <v>74</v>
      </c>
      <c r="F282" t="s">
        <v>3926</v>
      </c>
      <c r="G282" t="s">
        <v>74</v>
      </c>
      <c r="H282" t="s">
        <v>74</v>
      </c>
      <c r="I282" t="s">
        <v>3928</v>
      </c>
      <c r="J282" t="s">
        <v>3929</v>
      </c>
      <c r="K282" t="s">
        <v>74</v>
      </c>
      <c r="L282" t="s">
        <v>74</v>
      </c>
      <c r="M282" t="s">
        <v>77</v>
      </c>
      <c r="N282" t="s">
        <v>214</v>
      </c>
      <c r="O282" t="s">
        <v>3930</v>
      </c>
      <c r="P282" t="s">
        <v>3931</v>
      </c>
      <c r="Q282" t="s">
        <v>3932</v>
      </c>
      <c r="R282" t="s">
        <v>74</v>
      </c>
      <c r="S282" t="s">
        <v>74</v>
      </c>
      <c r="T282" t="s">
        <v>74</v>
      </c>
      <c r="U282" t="s">
        <v>3933</v>
      </c>
      <c r="V282" t="s">
        <v>3934</v>
      </c>
      <c r="W282" t="s">
        <v>3935</v>
      </c>
      <c r="X282" t="s">
        <v>74</v>
      </c>
      <c r="Y282" t="s">
        <v>3936</v>
      </c>
      <c r="Z282" t="s">
        <v>74</v>
      </c>
      <c r="AA282" t="s">
        <v>74</v>
      </c>
      <c r="AB282" t="s">
        <v>74</v>
      </c>
      <c r="AC282" t="s">
        <v>74</v>
      </c>
      <c r="AD282" t="s">
        <v>74</v>
      </c>
      <c r="AE282" t="s">
        <v>74</v>
      </c>
      <c r="AF282" t="s">
        <v>74</v>
      </c>
      <c r="AG282">
        <v>14</v>
      </c>
      <c r="AH282">
        <v>1</v>
      </c>
      <c r="AI282">
        <v>1</v>
      </c>
      <c r="AJ282">
        <v>0</v>
      </c>
      <c r="AK282">
        <v>0</v>
      </c>
      <c r="AL282" t="s">
        <v>3937</v>
      </c>
      <c r="AM282" t="s">
        <v>3938</v>
      </c>
      <c r="AN282" t="s">
        <v>3939</v>
      </c>
      <c r="AO282" t="s">
        <v>74</v>
      </c>
      <c r="AP282" t="s">
        <v>74</v>
      </c>
      <c r="AQ282" t="s">
        <v>74</v>
      </c>
      <c r="AR282" t="s">
        <v>74</v>
      </c>
      <c r="AS282" t="s">
        <v>74</v>
      </c>
      <c r="AT282" t="s">
        <v>74</v>
      </c>
      <c r="AU282">
        <v>2001</v>
      </c>
      <c r="AV282" t="s">
        <v>74</v>
      </c>
      <c r="AW282" t="s">
        <v>74</v>
      </c>
      <c r="AX282" t="s">
        <v>74</v>
      </c>
      <c r="AY282" t="s">
        <v>74</v>
      </c>
      <c r="AZ282" t="s">
        <v>74</v>
      </c>
      <c r="BA282" t="s">
        <v>74</v>
      </c>
      <c r="BB282">
        <v>155</v>
      </c>
      <c r="BC282">
        <v>161</v>
      </c>
      <c r="BD282" t="s">
        <v>74</v>
      </c>
      <c r="BE282" t="s">
        <v>74</v>
      </c>
      <c r="BF282" t="s">
        <v>74</v>
      </c>
      <c r="BG282" t="s">
        <v>74</v>
      </c>
      <c r="BH282" t="s">
        <v>74</v>
      </c>
      <c r="BI282">
        <v>7</v>
      </c>
      <c r="BJ282" t="s">
        <v>3940</v>
      </c>
      <c r="BK282" t="s">
        <v>229</v>
      </c>
      <c r="BL282" t="s">
        <v>3941</v>
      </c>
      <c r="BM282" t="s">
        <v>3942</v>
      </c>
      <c r="BN282" t="s">
        <v>74</v>
      </c>
      <c r="BO282" t="s">
        <v>74</v>
      </c>
      <c r="BP282" t="s">
        <v>74</v>
      </c>
      <c r="BQ282" t="s">
        <v>74</v>
      </c>
      <c r="BR282" t="s">
        <v>97</v>
      </c>
      <c r="BS282" t="s">
        <v>3943</v>
      </c>
      <c r="BT282" t="str">
        <f>HYPERLINK("https%3A%2F%2Fwww.webofscience.com%2Fwos%2Fwoscc%2Ffull-record%2FWOS:000176705600021","View Full Record in Web of Science")</f>
        <v>View Full Record in Web of Science</v>
      </c>
    </row>
    <row r="283" spans="1:72" x14ac:dyDescent="0.15">
      <c r="A283" t="s">
        <v>209</v>
      </c>
      <c r="B283" t="s">
        <v>3944</v>
      </c>
      <c r="C283" t="s">
        <v>74</v>
      </c>
      <c r="D283" t="s">
        <v>3945</v>
      </c>
      <c r="E283" t="s">
        <v>74</v>
      </c>
      <c r="F283" t="s">
        <v>3944</v>
      </c>
      <c r="G283" t="s">
        <v>74</v>
      </c>
      <c r="H283" t="s">
        <v>74</v>
      </c>
      <c r="I283" t="s">
        <v>3946</v>
      </c>
      <c r="J283" t="s">
        <v>3947</v>
      </c>
      <c r="K283" t="s">
        <v>848</v>
      </c>
      <c r="L283" t="s">
        <v>74</v>
      </c>
      <c r="M283" t="s">
        <v>77</v>
      </c>
      <c r="N283" t="s">
        <v>214</v>
      </c>
      <c r="O283" t="s">
        <v>3948</v>
      </c>
      <c r="P283" t="s">
        <v>3949</v>
      </c>
      <c r="Q283" t="s">
        <v>3950</v>
      </c>
      <c r="R283" t="s">
        <v>74</v>
      </c>
      <c r="S283" t="s">
        <v>3951</v>
      </c>
      <c r="T283" t="s">
        <v>74</v>
      </c>
      <c r="U283" t="s">
        <v>74</v>
      </c>
      <c r="V283" t="s">
        <v>3952</v>
      </c>
      <c r="W283" t="s">
        <v>3953</v>
      </c>
      <c r="X283" t="s">
        <v>1590</v>
      </c>
      <c r="Y283" t="s">
        <v>3954</v>
      </c>
      <c r="Z283" t="s">
        <v>74</v>
      </c>
      <c r="AA283" t="s">
        <v>74</v>
      </c>
      <c r="AB283" t="s">
        <v>74</v>
      </c>
      <c r="AC283" t="s">
        <v>74</v>
      </c>
      <c r="AD283" t="s">
        <v>74</v>
      </c>
      <c r="AE283" t="s">
        <v>74</v>
      </c>
      <c r="AF283" t="s">
        <v>74</v>
      </c>
      <c r="AG283">
        <v>3</v>
      </c>
      <c r="AH283">
        <v>0</v>
      </c>
      <c r="AI283">
        <v>0</v>
      </c>
      <c r="AJ283">
        <v>0</v>
      </c>
      <c r="AK283">
        <v>0</v>
      </c>
      <c r="AL283" t="s">
        <v>836</v>
      </c>
      <c r="AM283" t="s">
        <v>837</v>
      </c>
      <c r="AN283" t="s">
        <v>838</v>
      </c>
      <c r="AO283" t="s">
        <v>839</v>
      </c>
      <c r="AP283" t="s">
        <v>74</v>
      </c>
      <c r="AQ283" t="s">
        <v>3955</v>
      </c>
      <c r="AR283" t="s">
        <v>855</v>
      </c>
      <c r="AS283" t="s">
        <v>74</v>
      </c>
      <c r="AT283" t="s">
        <v>74</v>
      </c>
      <c r="AU283">
        <v>2001</v>
      </c>
      <c r="AV283">
        <v>464</v>
      </c>
      <c r="AW283" t="s">
        <v>74</v>
      </c>
      <c r="AX283" t="s">
        <v>74</v>
      </c>
      <c r="AY283" t="s">
        <v>74</v>
      </c>
      <c r="AZ283" t="s">
        <v>74</v>
      </c>
      <c r="BA283" t="s">
        <v>74</v>
      </c>
      <c r="BB283">
        <v>343</v>
      </c>
      <c r="BC283">
        <v>346</v>
      </c>
      <c r="BD283" t="s">
        <v>74</v>
      </c>
      <c r="BE283" t="s">
        <v>74</v>
      </c>
      <c r="BF283" t="s">
        <v>74</v>
      </c>
      <c r="BG283" t="s">
        <v>74</v>
      </c>
      <c r="BH283" t="s">
        <v>74</v>
      </c>
      <c r="BI283">
        <v>4</v>
      </c>
      <c r="BJ283" t="s">
        <v>3956</v>
      </c>
      <c r="BK283" t="s">
        <v>229</v>
      </c>
      <c r="BL283" t="s">
        <v>3957</v>
      </c>
      <c r="BM283" t="s">
        <v>3958</v>
      </c>
      <c r="BN283" t="s">
        <v>74</v>
      </c>
      <c r="BO283" t="s">
        <v>74</v>
      </c>
      <c r="BP283" t="s">
        <v>74</v>
      </c>
      <c r="BQ283" t="s">
        <v>74</v>
      </c>
      <c r="BR283" t="s">
        <v>97</v>
      </c>
      <c r="BS283" t="s">
        <v>3959</v>
      </c>
      <c r="BT283" t="str">
        <f>HYPERLINK("https%3A%2F%2Fwww.webofscience.com%2Fwos%2Fwoscc%2Ffull-record%2FWOS:000169104500067","View Full Record in Web of Science")</f>
        <v>View Full Record in Web of Science</v>
      </c>
    </row>
    <row r="284" spans="1:72" x14ac:dyDescent="0.15">
      <c r="A284" t="s">
        <v>209</v>
      </c>
      <c r="B284" t="s">
        <v>3960</v>
      </c>
      <c r="C284" t="s">
        <v>74</v>
      </c>
      <c r="D284" t="s">
        <v>74</v>
      </c>
      <c r="E284" t="s">
        <v>3961</v>
      </c>
      <c r="F284" t="s">
        <v>3960</v>
      </c>
      <c r="G284" t="s">
        <v>74</v>
      </c>
      <c r="H284" t="s">
        <v>74</v>
      </c>
      <c r="I284" t="s">
        <v>3962</v>
      </c>
      <c r="J284" t="s">
        <v>3963</v>
      </c>
      <c r="K284" t="s">
        <v>74</v>
      </c>
      <c r="L284" t="s">
        <v>74</v>
      </c>
      <c r="M284" t="s">
        <v>77</v>
      </c>
      <c r="N284" t="s">
        <v>214</v>
      </c>
      <c r="O284" t="s">
        <v>3964</v>
      </c>
      <c r="P284" t="s">
        <v>3965</v>
      </c>
      <c r="Q284" t="s">
        <v>3966</v>
      </c>
      <c r="R284" t="s">
        <v>74</v>
      </c>
      <c r="S284" t="s">
        <v>74</v>
      </c>
      <c r="T284" t="s">
        <v>74</v>
      </c>
      <c r="U284" t="s">
        <v>74</v>
      </c>
      <c r="V284" t="s">
        <v>3967</v>
      </c>
      <c r="W284" t="s">
        <v>74</v>
      </c>
      <c r="X284" t="s">
        <v>74</v>
      </c>
      <c r="Y284" t="s">
        <v>74</v>
      </c>
      <c r="Z284" t="s">
        <v>74</v>
      </c>
      <c r="AA284" t="s">
        <v>74</v>
      </c>
      <c r="AB284" t="s">
        <v>74</v>
      </c>
      <c r="AC284" t="s">
        <v>74</v>
      </c>
      <c r="AD284" t="s">
        <v>74</v>
      </c>
      <c r="AE284" t="s">
        <v>74</v>
      </c>
      <c r="AF284" t="s">
        <v>74</v>
      </c>
      <c r="AG284">
        <v>4</v>
      </c>
      <c r="AH284">
        <v>0</v>
      </c>
      <c r="AI284">
        <v>0</v>
      </c>
      <c r="AJ284">
        <v>0</v>
      </c>
      <c r="AK284">
        <v>1</v>
      </c>
      <c r="AL284" t="s">
        <v>3968</v>
      </c>
      <c r="AM284" t="s">
        <v>3969</v>
      </c>
      <c r="AN284" t="s">
        <v>3970</v>
      </c>
      <c r="AO284" t="s">
        <v>74</v>
      </c>
      <c r="AP284" t="s">
        <v>74</v>
      </c>
      <c r="AQ284" t="s">
        <v>74</v>
      </c>
      <c r="AR284" t="s">
        <v>74</v>
      </c>
      <c r="AS284" t="s">
        <v>74</v>
      </c>
      <c r="AT284" t="s">
        <v>74</v>
      </c>
      <c r="AU284">
        <v>2001</v>
      </c>
      <c r="AV284" t="s">
        <v>74</v>
      </c>
      <c r="AW284" t="s">
        <v>74</v>
      </c>
      <c r="AX284" t="s">
        <v>74</v>
      </c>
      <c r="AY284" t="s">
        <v>74</v>
      </c>
      <c r="AZ284" t="s">
        <v>74</v>
      </c>
      <c r="BA284" t="s">
        <v>74</v>
      </c>
      <c r="BB284">
        <v>99</v>
      </c>
      <c r="BC284">
        <v>108</v>
      </c>
      <c r="BD284" t="s">
        <v>74</v>
      </c>
      <c r="BE284" t="s">
        <v>74</v>
      </c>
      <c r="BF284" t="s">
        <v>74</v>
      </c>
      <c r="BG284" t="s">
        <v>74</v>
      </c>
      <c r="BH284" t="s">
        <v>74</v>
      </c>
      <c r="BI284">
        <v>10</v>
      </c>
      <c r="BJ284" t="s">
        <v>3971</v>
      </c>
      <c r="BK284" t="s">
        <v>229</v>
      </c>
      <c r="BL284" t="s">
        <v>3972</v>
      </c>
      <c r="BM284" t="s">
        <v>3973</v>
      </c>
      <c r="BN284" t="s">
        <v>74</v>
      </c>
      <c r="BO284" t="s">
        <v>74</v>
      </c>
      <c r="BP284" t="s">
        <v>74</v>
      </c>
      <c r="BQ284" t="s">
        <v>74</v>
      </c>
      <c r="BR284" t="s">
        <v>97</v>
      </c>
      <c r="BS284" t="s">
        <v>3974</v>
      </c>
      <c r="BT284" t="str">
        <f>HYPERLINK("https%3A%2F%2Fwww.webofscience.com%2Fwos%2Fwoscc%2Ffull-record%2FWOS:000174051500010","View Full Record in Web of Science")</f>
        <v>View Full Record in Web of Science</v>
      </c>
    </row>
    <row r="285" spans="1:72" x14ac:dyDescent="0.15">
      <c r="A285" t="s">
        <v>209</v>
      </c>
      <c r="B285" t="s">
        <v>3975</v>
      </c>
      <c r="C285" t="s">
        <v>74</v>
      </c>
      <c r="D285" t="s">
        <v>74</v>
      </c>
      <c r="E285" t="s">
        <v>3961</v>
      </c>
      <c r="F285" t="s">
        <v>3975</v>
      </c>
      <c r="G285" t="s">
        <v>74</v>
      </c>
      <c r="H285" t="s">
        <v>74</v>
      </c>
      <c r="I285" t="s">
        <v>3976</v>
      </c>
      <c r="J285" t="s">
        <v>3963</v>
      </c>
      <c r="K285" t="s">
        <v>74</v>
      </c>
      <c r="L285" t="s">
        <v>74</v>
      </c>
      <c r="M285" t="s">
        <v>77</v>
      </c>
      <c r="N285" t="s">
        <v>214</v>
      </c>
      <c r="O285" t="s">
        <v>3964</v>
      </c>
      <c r="P285" t="s">
        <v>3965</v>
      </c>
      <c r="Q285" t="s">
        <v>3966</v>
      </c>
      <c r="R285" t="s">
        <v>74</v>
      </c>
      <c r="S285" t="s">
        <v>74</v>
      </c>
      <c r="T285" t="s">
        <v>74</v>
      </c>
      <c r="U285" t="s">
        <v>74</v>
      </c>
      <c r="V285" t="s">
        <v>3977</v>
      </c>
      <c r="W285" t="s">
        <v>74</v>
      </c>
      <c r="X285" t="s">
        <v>74</v>
      </c>
      <c r="Y285" t="s">
        <v>74</v>
      </c>
      <c r="Z285" t="s">
        <v>74</v>
      </c>
      <c r="AA285" t="s">
        <v>74</v>
      </c>
      <c r="AB285" t="s">
        <v>74</v>
      </c>
      <c r="AC285" t="s">
        <v>74</v>
      </c>
      <c r="AD285" t="s">
        <v>74</v>
      </c>
      <c r="AE285" t="s">
        <v>74</v>
      </c>
      <c r="AF285" t="s">
        <v>74</v>
      </c>
      <c r="AG285">
        <v>5</v>
      </c>
      <c r="AH285">
        <v>0</v>
      </c>
      <c r="AI285">
        <v>0</v>
      </c>
      <c r="AJ285">
        <v>0</v>
      </c>
      <c r="AK285">
        <v>1</v>
      </c>
      <c r="AL285" t="s">
        <v>3968</v>
      </c>
      <c r="AM285" t="s">
        <v>3969</v>
      </c>
      <c r="AN285" t="s">
        <v>3970</v>
      </c>
      <c r="AO285" t="s">
        <v>74</v>
      </c>
      <c r="AP285" t="s">
        <v>74</v>
      </c>
      <c r="AQ285" t="s">
        <v>74</v>
      </c>
      <c r="AR285" t="s">
        <v>74</v>
      </c>
      <c r="AS285" t="s">
        <v>74</v>
      </c>
      <c r="AT285" t="s">
        <v>74</v>
      </c>
      <c r="AU285">
        <v>2001</v>
      </c>
      <c r="AV285" t="s">
        <v>74</v>
      </c>
      <c r="AW285" t="s">
        <v>74</v>
      </c>
      <c r="AX285" t="s">
        <v>74</v>
      </c>
      <c r="AY285" t="s">
        <v>74</v>
      </c>
      <c r="AZ285" t="s">
        <v>74</v>
      </c>
      <c r="BA285" t="s">
        <v>74</v>
      </c>
      <c r="BB285">
        <v>195</v>
      </c>
      <c r="BC285">
        <v>206</v>
      </c>
      <c r="BD285" t="s">
        <v>74</v>
      </c>
      <c r="BE285" t="s">
        <v>74</v>
      </c>
      <c r="BF285" t="s">
        <v>74</v>
      </c>
      <c r="BG285" t="s">
        <v>74</v>
      </c>
      <c r="BH285" t="s">
        <v>74</v>
      </c>
      <c r="BI285">
        <v>12</v>
      </c>
      <c r="BJ285" t="s">
        <v>3971</v>
      </c>
      <c r="BK285" t="s">
        <v>229</v>
      </c>
      <c r="BL285" t="s">
        <v>3972</v>
      </c>
      <c r="BM285" t="s">
        <v>3973</v>
      </c>
      <c r="BN285" t="s">
        <v>74</v>
      </c>
      <c r="BO285" t="s">
        <v>74</v>
      </c>
      <c r="BP285" t="s">
        <v>74</v>
      </c>
      <c r="BQ285" t="s">
        <v>74</v>
      </c>
      <c r="BR285" t="s">
        <v>97</v>
      </c>
      <c r="BS285" t="s">
        <v>3978</v>
      </c>
      <c r="BT285" t="str">
        <f>HYPERLINK("https%3A%2F%2Fwww.webofscience.com%2Fwos%2Fwoscc%2Ffull-record%2FWOS:000174051500020","View Full Record in Web of Science")</f>
        <v>View Full Record in Web of Science</v>
      </c>
    </row>
    <row r="286" spans="1:72" x14ac:dyDescent="0.15">
      <c r="A286" t="s">
        <v>209</v>
      </c>
      <c r="B286" t="s">
        <v>3979</v>
      </c>
      <c r="C286" t="s">
        <v>74</v>
      </c>
      <c r="D286" t="s">
        <v>3980</v>
      </c>
      <c r="E286" t="s">
        <v>74</v>
      </c>
      <c r="F286" t="s">
        <v>3979</v>
      </c>
      <c r="G286" t="s">
        <v>74</v>
      </c>
      <c r="H286" t="s">
        <v>74</v>
      </c>
      <c r="I286" t="s">
        <v>3981</v>
      </c>
      <c r="J286" t="s">
        <v>3982</v>
      </c>
      <c r="K286" t="s">
        <v>3983</v>
      </c>
      <c r="L286" t="s">
        <v>74</v>
      </c>
      <c r="M286" t="s">
        <v>77</v>
      </c>
      <c r="N286" t="s">
        <v>214</v>
      </c>
      <c r="O286" t="s">
        <v>3984</v>
      </c>
      <c r="P286" t="s">
        <v>3985</v>
      </c>
      <c r="Q286" t="s">
        <v>3986</v>
      </c>
      <c r="R286" t="s">
        <v>74</v>
      </c>
      <c r="S286" t="s">
        <v>74</v>
      </c>
      <c r="T286" t="s">
        <v>3987</v>
      </c>
      <c r="U286" t="s">
        <v>74</v>
      </c>
      <c r="V286" t="s">
        <v>3988</v>
      </c>
      <c r="W286" t="s">
        <v>3989</v>
      </c>
      <c r="X286" t="s">
        <v>1653</v>
      </c>
      <c r="Y286" t="s">
        <v>3990</v>
      </c>
      <c r="Z286" t="s">
        <v>74</v>
      </c>
      <c r="AA286" t="s">
        <v>3991</v>
      </c>
      <c r="AB286" t="s">
        <v>3992</v>
      </c>
      <c r="AC286" t="s">
        <v>74</v>
      </c>
      <c r="AD286" t="s">
        <v>74</v>
      </c>
      <c r="AE286" t="s">
        <v>74</v>
      </c>
      <c r="AF286" t="s">
        <v>74</v>
      </c>
      <c r="AG286">
        <v>13</v>
      </c>
      <c r="AH286">
        <v>0</v>
      </c>
      <c r="AI286">
        <v>0</v>
      </c>
      <c r="AJ286">
        <v>1</v>
      </c>
      <c r="AK286">
        <v>11</v>
      </c>
      <c r="AL286" t="s">
        <v>3993</v>
      </c>
      <c r="AM286" t="s">
        <v>3994</v>
      </c>
      <c r="AN286" t="s">
        <v>3995</v>
      </c>
      <c r="AO286" t="s">
        <v>3996</v>
      </c>
      <c r="AP286" t="s">
        <v>74</v>
      </c>
      <c r="AQ286" t="s">
        <v>3997</v>
      </c>
      <c r="AR286" t="s">
        <v>3998</v>
      </c>
      <c r="AS286" t="s">
        <v>74</v>
      </c>
      <c r="AT286" t="s">
        <v>74</v>
      </c>
      <c r="AU286">
        <v>2001</v>
      </c>
      <c r="AV286" t="s">
        <v>74</v>
      </c>
      <c r="AW286">
        <v>554</v>
      </c>
      <c r="AX286" t="s">
        <v>74</v>
      </c>
      <c r="AY286" t="s">
        <v>74</v>
      </c>
      <c r="AZ286" t="s">
        <v>74</v>
      </c>
      <c r="BA286" t="s">
        <v>74</v>
      </c>
      <c r="BB286">
        <v>279</v>
      </c>
      <c r="BC286">
        <v>284</v>
      </c>
      <c r="BD286" t="s">
        <v>74</v>
      </c>
      <c r="BE286" t="s">
        <v>3999</v>
      </c>
      <c r="BF286" t="str">
        <f>HYPERLINK("http://dx.doi.org/10.17660/ActaHortic.2001.554.29","http://dx.doi.org/10.17660/ActaHortic.2001.554.29")</f>
        <v>http://dx.doi.org/10.17660/ActaHortic.2001.554.29</v>
      </c>
      <c r="BG286" t="s">
        <v>74</v>
      </c>
      <c r="BH286" t="s">
        <v>74</v>
      </c>
      <c r="BI286">
        <v>6</v>
      </c>
      <c r="BJ286" t="s">
        <v>4000</v>
      </c>
      <c r="BK286" t="s">
        <v>229</v>
      </c>
      <c r="BL286" t="s">
        <v>4001</v>
      </c>
      <c r="BM286" t="s">
        <v>4002</v>
      </c>
      <c r="BN286" t="s">
        <v>74</v>
      </c>
      <c r="BO286" t="s">
        <v>74</v>
      </c>
      <c r="BP286" t="s">
        <v>74</v>
      </c>
      <c r="BQ286" t="s">
        <v>74</v>
      </c>
      <c r="BR286" t="s">
        <v>97</v>
      </c>
      <c r="BS286" t="s">
        <v>4003</v>
      </c>
      <c r="BT286" t="str">
        <f>HYPERLINK("https%3A%2F%2Fwww.webofscience.com%2Fwos%2Fwoscc%2Ffull-record%2FWOS:000171524100029","View Full Record in Web of Science")</f>
        <v>View Full Record in Web of Science</v>
      </c>
    </row>
    <row r="287" spans="1:72" x14ac:dyDescent="0.15">
      <c r="A287" t="s">
        <v>72</v>
      </c>
      <c r="B287" t="s">
        <v>4004</v>
      </c>
      <c r="C287" t="s">
        <v>74</v>
      </c>
      <c r="D287" t="s">
        <v>74</v>
      </c>
      <c r="E287" t="s">
        <v>74</v>
      </c>
      <c r="F287" t="s">
        <v>4004</v>
      </c>
      <c r="G287" t="s">
        <v>74</v>
      </c>
      <c r="H287" t="s">
        <v>74</v>
      </c>
      <c r="I287" t="s">
        <v>4005</v>
      </c>
      <c r="J287" t="s">
        <v>4006</v>
      </c>
      <c r="K287" t="s">
        <v>74</v>
      </c>
      <c r="L287" t="s">
        <v>74</v>
      </c>
      <c r="M287" t="s">
        <v>77</v>
      </c>
      <c r="N287" t="s">
        <v>236</v>
      </c>
      <c r="O287" t="s">
        <v>74</v>
      </c>
      <c r="P287" t="s">
        <v>74</v>
      </c>
      <c r="Q287" t="s">
        <v>74</v>
      </c>
      <c r="R287" t="s">
        <v>74</v>
      </c>
      <c r="S287" t="s">
        <v>74</v>
      </c>
      <c r="T287" t="s">
        <v>74</v>
      </c>
      <c r="U287" t="s">
        <v>4007</v>
      </c>
      <c r="V287" t="s">
        <v>4008</v>
      </c>
      <c r="W287" t="s">
        <v>4009</v>
      </c>
      <c r="X287" t="s">
        <v>4010</v>
      </c>
      <c r="Y287" t="s">
        <v>4011</v>
      </c>
      <c r="Z287" t="s">
        <v>4012</v>
      </c>
      <c r="AA287" t="s">
        <v>4013</v>
      </c>
      <c r="AB287" t="s">
        <v>4014</v>
      </c>
      <c r="AC287" t="s">
        <v>74</v>
      </c>
      <c r="AD287" t="s">
        <v>74</v>
      </c>
      <c r="AE287" t="s">
        <v>74</v>
      </c>
      <c r="AF287" t="s">
        <v>74</v>
      </c>
      <c r="AG287">
        <v>56</v>
      </c>
      <c r="AH287">
        <v>46</v>
      </c>
      <c r="AI287">
        <v>47</v>
      </c>
      <c r="AJ287">
        <v>0</v>
      </c>
      <c r="AK287">
        <v>15</v>
      </c>
      <c r="AL287" t="s">
        <v>245</v>
      </c>
      <c r="AM287" t="s">
        <v>246</v>
      </c>
      <c r="AN287" t="s">
        <v>247</v>
      </c>
      <c r="AO287" t="s">
        <v>4015</v>
      </c>
      <c r="AP287" t="s">
        <v>74</v>
      </c>
      <c r="AQ287" t="s">
        <v>74</v>
      </c>
      <c r="AR287" t="s">
        <v>4016</v>
      </c>
      <c r="AS287" t="s">
        <v>4017</v>
      </c>
      <c r="AT287" t="s">
        <v>74</v>
      </c>
      <c r="AU287">
        <v>2001</v>
      </c>
      <c r="AV287">
        <v>50</v>
      </c>
      <c r="AW287" t="s">
        <v>4018</v>
      </c>
      <c r="AX287" t="s">
        <v>74</v>
      </c>
      <c r="AY287" t="s">
        <v>74</v>
      </c>
      <c r="AZ287" t="s">
        <v>2736</v>
      </c>
      <c r="BA287" t="s">
        <v>74</v>
      </c>
      <c r="BB287">
        <v>369</v>
      </c>
      <c r="BC287">
        <v>382</v>
      </c>
      <c r="BD287" t="s">
        <v>74</v>
      </c>
      <c r="BE287" t="s">
        <v>4019</v>
      </c>
      <c r="BF287" t="str">
        <f>HYPERLINK("http://dx.doi.org/10.1016/S0079-6611(01)00061-1","http://dx.doi.org/10.1016/S0079-6611(01)00061-1")</f>
        <v>http://dx.doi.org/10.1016/S0079-6611(01)00061-1</v>
      </c>
      <c r="BG287" t="s">
        <v>74</v>
      </c>
      <c r="BH287" t="s">
        <v>74</v>
      </c>
      <c r="BI287">
        <v>14</v>
      </c>
      <c r="BJ287" t="s">
        <v>252</v>
      </c>
      <c r="BK287" t="s">
        <v>94</v>
      </c>
      <c r="BL287" t="s">
        <v>252</v>
      </c>
      <c r="BM287" t="s">
        <v>4020</v>
      </c>
      <c r="BN287" t="s">
        <v>74</v>
      </c>
      <c r="BO287" t="s">
        <v>74</v>
      </c>
      <c r="BP287" t="s">
        <v>74</v>
      </c>
      <c r="BQ287" t="s">
        <v>74</v>
      </c>
      <c r="BR287" t="s">
        <v>97</v>
      </c>
      <c r="BS287" t="s">
        <v>4021</v>
      </c>
      <c r="BT287" t="str">
        <f>HYPERLINK("https%3A%2F%2Fwww.webofscience.com%2Fwos%2Fwoscc%2Ffull-record%2FWOS:000171949700018","View Full Record in Web of Science")</f>
        <v>View Full Record in Web of Science</v>
      </c>
    </row>
    <row r="288" spans="1:72" x14ac:dyDescent="0.15">
      <c r="A288" t="s">
        <v>72</v>
      </c>
      <c r="B288" t="s">
        <v>4022</v>
      </c>
      <c r="C288" t="s">
        <v>74</v>
      </c>
      <c r="D288" t="s">
        <v>74</v>
      </c>
      <c r="E288" t="s">
        <v>74</v>
      </c>
      <c r="F288" t="s">
        <v>4022</v>
      </c>
      <c r="G288" t="s">
        <v>74</v>
      </c>
      <c r="H288" t="s">
        <v>74</v>
      </c>
      <c r="I288" t="s">
        <v>4023</v>
      </c>
      <c r="J288" t="s">
        <v>4006</v>
      </c>
      <c r="K288" t="s">
        <v>74</v>
      </c>
      <c r="L288" t="s">
        <v>74</v>
      </c>
      <c r="M288" t="s">
        <v>77</v>
      </c>
      <c r="N288" t="s">
        <v>236</v>
      </c>
      <c r="O288" t="s">
        <v>74</v>
      </c>
      <c r="P288" t="s">
        <v>74</v>
      </c>
      <c r="Q288" t="s">
        <v>74</v>
      </c>
      <c r="R288" t="s">
        <v>74</v>
      </c>
      <c r="S288" t="s">
        <v>74</v>
      </c>
      <c r="T288" t="s">
        <v>74</v>
      </c>
      <c r="U288" t="s">
        <v>4024</v>
      </c>
      <c r="V288" t="s">
        <v>4025</v>
      </c>
      <c r="W288" t="s">
        <v>4026</v>
      </c>
      <c r="X288" t="s">
        <v>74</v>
      </c>
      <c r="Y288" t="s">
        <v>4027</v>
      </c>
      <c r="Z288" t="s">
        <v>74</v>
      </c>
      <c r="AA288" t="s">
        <v>74</v>
      </c>
      <c r="AB288" t="s">
        <v>74</v>
      </c>
      <c r="AC288" t="s">
        <v>74</v>
      </c>
      <c r="AD288" t="s">
        <v>74</v>
      </c>
      <c r="AE288" t="s">
        <v>74</v>
      </c>
      <c r="AF288" t="s">
        <v>74</v>
      </c>
      <c r="AG288">
        <v>161</v>
      </c>
      <c r="AH288">
        <v>46</v>
      </c>
      <c r="AI288">
        <v>47</v>
      </c>
      <c r="AJ288">
        <v>1</v>
      </c>
      <c r="AK288">
        <v>12</v>
      </c>
      <c r="AL288" t="s">
        <v>245</v>
      </c>
      <c r="AM288" t="s">
        <v>246</v>
      </c>
      <c r="AN288" t="s">
        <v>247</v>
      </c>
      <c r="AO288" t="s">
        <v>4015</v>
      </c>
      <c r="AP288" t="s">
        <v>74</v>
      </c>
      <c r="AQ288" t="s">
        <v>74</v>
      </c>
      <c r="AR288" t="s">
        <v>4016</v>
      </c>
      <c r="AS288" t="s">
        <v>4017</v>
      </c>
      <c r="AT288" t="s">
        <v>74</v>
      </c>
      <c r="AU288">
        <v>2001</v>
      </c>
      <c r="AV288">
        <v>48</v>
      </c>
      <c r="AW288">
        <v>4</v>
      </c>
      <c r="AX288" t="s">
        <v>74</v>
      </c>
      <c r="AY288" t="s">
        <v>74</v>
      </c>
      <c r="AZ288" t="s">
        <v>74</v>
      </c>
      <c r="BA288" t="s">
        <v>74</v>
      </c>
      <c r="BB288">
        <v>337</v>
      </c>
      <c r="BC288">
        <v>402</v>
      </c>
      <c r="BD288" t="s">
        <v>74</v>
      </c>
      <c r="BE288" t="s">
        <v>74</v>
      </c>
      <c r="BF288" t="s">
        <v>74</v>
      </c>
      <c r="BG288" t="s">
        <v>74</v>
      </c>
      <c r="BH288" t="s">
        <v>74</v>
      </c>
      <c r="BI288">
        <v>66</v>
      </c>
      <c r="BJ288" t="s">
        <v>252</v>
      </c>
      <c r="BK288" t="s">
        <v>94</v>
      </c>
      <c r="BL288" t="s">
        <v>252</v>
      </c>
      <c r="BM288" t="s">
        <v>4028</v>
      </c>
      <c r="BN288" t="s">
        <v>74</v>
      </c>
      <c r="BO288" t="s">
        <v>74</v>
      </c>
      <c r="BP288" t="s">
        <v>74</v>
      </c>
      <c r="BQ288" t="s">
        <v>74</v>
      </c>
      <c r="BR288" t="s">
        <v>97</v>
      </c>
      <c r="BS288" t="s">
        <v>4029</v>
      </c>
      <c r="BT288" t="str">
        <f>HYPERLINK("https%3A%2F%2Fwww.webofscience.com%2Fwos%2Fwoscc%2Ffull-record%2FWOS:000169567000001","View Full Record in Web of Science")</f>
        <v>View Full Record in Web of Science</v>
      </c>
    </row>
    <row r="289" spans="1:72" x14ac:dyDescent="0.15">
      <c r="A289" t="s">
        <v>72</v>
      </c>
      <c r="B289" t="s">
        <v>4030</v>
      </c>
      <c r="C289" t="s">
        <v>74</v>
      </c>
      <c r="D289" t="s">
        <v>74</v>
      </c>
      <c r="E289" t="s">
        <v>74</v>
      </c>
      <c r="F289" t="s">
        <v>4030</v>
      </c>
      <c r="G289" t="s">
        <v>74</v>
      </c>
      <c r="H289" t="s">
        <v>74</v>
      </c>
      <c r="I289" t="s">
        <v>4031</v>
      </c>
      <c r="J289" t="s">
        <v>4032</v>
      </c>
      <c r="K289" t="s">
        <v>74</v>
      </c>
      <c r="L289" t="s">
        <v>74</v>
      </c>
      <c r="M289" t="s">
        <v>77</v>
      </c>
      <c r="N289" t="s">
        <v>78</v>
      </c>
      <c r="O289" t="s">
        <v>74</v>
      </c>
      <c r="P289" t="s">
        <v>74</v>
      </c>
      <c r="Q289" t="s">
        <v>74</v>
      </c>
      <c r="R289" t="s">
        <v>74</v>
      </c>
      <c r="S289" t="s">
        <v>74</v>
      </c>
      <c r="T289" t="s">
        <v>4033</v>
      </c>
      <c r="U289" t="s">
        <v>4034</v>
      </c>
      <c r="V289" t="s">
        <v>4035</v>
      </c>
      <c r="W289" t="s">
        <v>4036</v>
      </c>
      <c r="X289" t="s">
        <v>4037</v>
      </c>
      <c r="Y289" t="s">
        <v>4038</v>
      </c>
      <c r="Z289" t="s">
        <v>4039</v>
      </c>
      <c r="AA289" t="s">
        <v>4040</v>
      </c>
      <c r="AB289" t="s">
        <v>4041</v>
      </c>
      <c r="AC289" t="s">
        <v>74</v>
      </c>
      <c r="AD289" t="s">
        <v>74</v>
      </c>
      <c r="AE289" t="s">
        <v>74</v>
      </c>
      <c r="AF289" t="s">
        <v>74</v>
      </c>
      <c r="AG289">
        <v>51</v>
      </c>
      <c r="AH289">
        <v>3</v>
      </c>
      <c r="AI289">
        <v>3</v>
      </c>
      <c r="AJ289">
        <v>0</v>
      </c>
      <c r="AK289">
        <v>5</v>
      </c>
      <c r="AL289" t="s">
        <v>3362</v>
      </c>
      <c r="AM289" t="s">
        <v>3363</v>
      </c>
      <c r="AN289" t="s">
        <v>3364</v>
      </c>
      <c r="AO289" t="s">
        <v>4042</v>
      </c>
      <c r="AP289" t="s">
        <v>4043</v>
      </c>
      <c r="AQ289" t="s">
        <v>74</v>
      </c>
      <c r="AR289" t="s">
        <v>4032</v>
      </c>
      <c r="AS289" t="s">
        <v>4044</v>
      </c>
      <c r="AT289" t="s">
        <v>74</v>
      </c>
      <c r="AU289">
        <v>2001</v>
      </c>
      <c r="AV289">
        <v>218</v>
      </c>
      <c r="AW289" t="s">
        <v>870</v>
      </c>
      <c r="AX289" t="s">
        <v>74</v>
      </c>
      <c r="AY289" t="s">
        <v>74</v>
      </c>
      <c r="AZ289" t="s">
        <v>74</v>
      </c>
      <c r="BA289" t="s">
        <v>74</v>
      </c>
      <c r="BB289">
        <v>24</v>
      </c>
      <c r="BC289">
        <v>30</v>
      </c>
      <c r="BD289" t="s">
        <v>74</v>
      </c>
      <c r="BE289" t="s">
        <v>4045</v>
      </c>
      <c r="BF289" t="str">
        <f>HYPERLINK("http://dx.doi.org/10.1007/BF01288357","http://dx.doi.org/10.1007/BF01288357")</f>
        <v>http://dx.doi.org/10.1007/BF01288357</v>
      </c>
      <c r="BG289" t="s">
        <v>74</v>
      </c>
      <c r="BH289" t="s">
        <v>74</v>
      </c>
      <c r="BI289">
        <v>7</v>
      </c>
      <c r="BJ289" t="s">
        <v>4046</v>
      </c>
      <c r="BK289" t="s">
        <v>94</v>
      </c>
      <c r="BL289" t="s">
        <v>4046</v>
      </c>
      <c r="BM289" t="s">
        <v>4047</v>
      </c>
      <c r="BN289">
        <v>11732317</v>
      </c>
      <c r="BO289" t="s">
        <v>74</v>
      </c>
      <c r="BP289" t="s">
        <v>74</v>
      </c>
      <c r="BQ289" t="s">
        <v>74</v>
      </c>
      <c r="BR289" t="s">
        <v>97</v>
      </c>
      <c r="BS289" t="s">
        <v>4048</v>
      </c>
      <c r="BT289" t="str">
        <f>HYPERLINK("https%3A%2F%2Fwww.webofscience.com%2Fwos%2Fwoscc%2Ffull-record%2FWOS:000171204100002","View Full Record in Web of Science")</f>
        <v>View Full Record in Web of Science</v>
      </c>
    </row>
    <row r="290" spans="1:72" x14ac:dyDescent="0.15">
      <c r="A290" t="s">
        <v>72</v>
      </c>
      <c r="B290" t="s">
        <v>4049</v>
      </c>
      <c r="C290" t="s">
        <v>74</v>
      </c>
      <c r="D290" t="s">
        <v>74</v>
      </c>
      <c r="E290" t="s">
        <v>74</v>
      </c>
      <c r="F290" t="s">
        <v>4049</v>
      </c>
      <c r="G290" t="s">
        <v>74</v>
      </c>
      <c r="H290" t="s">
        <v>74</v>
      </c>
      <c r="I290" t="s">
        <v>4050</v>
      </c>
      <c r="J290" t="s">
        <v>4051</v>
      </c>
      <c r="K290" t="s">
        <v>74</v>
      </c>
      <c r="L290" t="s">
        <v>74</v>
      </c>
      <c r="M290" t="s">
        <v>77</v>
      </c>
      <c r="N290" t="s">
        <v>78</v>
      </c>
      <c r="O290" t="s">
        <v>74</v>
      </c>
      <c r="P290" t="s">
        <v>74</v>
      </c>
      <c r="Q290" t="s">
        <v>74</v>
      </c>
      <c r="R290" t="s">
        <v>74</v>
      </c>
      <c r="S290" t="s">
        <v>74</v>
      </c>
      <c r="T290" t="s">
        <v>4052</v>
      </c>
      <c r="U290" t="s">
        <v>4053</v>
      </c>
      <c r="V290" t="s">
        <v>4054</v>
      </c>
      <c r="W290" t="s">
        <v>4055</v>
      </c>
      <c r="X290" t="s">
        <v>4056</v>
      </c>
      <c r="Y290" t="s">
        <v>4057</v>
      </c>
      <c r="Z290" t="s">
        <v>74</v>
      </c>
      <c r="AA290" t="s">
        <v>74</v>
      </c>
      <c r="AB290" t="s">
        <v>74</v>
      </c>
      <c r="AC290" t="s">
        <v>74</v>
      </c>
      <c r="AD290" t="s">
        <v>74</v>
      </c>
      <c r="AE290" t="s">
        <v>74</v>
      </c>
      <c r="AF290" t="s">
        <v>74</v>
      </c>
      <c r="AG290">
        <v>32</v>
      </c>
      <c r="AH290">
        <v>102</v>
      </c>
      <c r="AI290">
        <v>116</v>
      </c>
      <c r="AJ290">
        <v>0</v>
      </c>
      <c r="AK290">
        <v>2</v>
      </c>
      <c r="AL290" t="s">
        <v>4058</v>
      </c>
      <c r="AM290" t="s">
        <v>4059</v>
      </c>
      <c r="AN290" t="s">
        <v>4060</v>
      </c>
      <c r="AO290" t="s">
        <v>4061</v>
      </c>
      <c r="AP290" t="s">
        <v>74</v>
      </c>
      <c r="AQ290" t="s">
        <v>74</v>
      </c>
      <c r="AR290" t="s">
        <v>4062</v>
      </c>
      <c r="AS290" t="s">
        <v>4063</v>
      </c>
      <c r="AT290" t="s">
        <v>91</v>
      </c>
      <c r="AU290">
        <v>2001</v>
      </c>
      <c r="AV290">
        <v>127</v>
      </c>
      <c r="AW290">
        <v>571</v>
      </c>
      <c r="AX290" t="s">
        <v>2682</v>
      </c>
      <c r="AY290" t="s">
        <v>74</v>
      </c>
      <c r="AZ290" t="s">
        <v>74</v>
      </c>
      <c r="BA290" t="s">
        <v>74</v>
      </c>
      <c r="BB290">
        <v>209</v>
      </c>
      <c r="BC290">
        <v>231</v>
      </c>
      <c r="BD290" t="s">
        <v>74</v>
      </c>
      <c r="BE290" t="s">
        <v>4064</v>
      </c>
      <c r="BF290" t="str">
        <f>HYPERLINK("http://dx.doi.org/10.1256/smsqj.57111","http://dx.doi.org/10.1256/smsqj.57111")</f>
        <v>http://dx.doi.org/10.1256/smsqj.57111</v>
      </c>
      <c r="BG290" t="s">
        <v>74</v>
      </c>
      <c r="BH290" t="s">
        <v>74</v>
      </c>
      <c r="BI290">
        <v>23</v>
      </c>
      <c r="BJ290" t="s">
        <v>167</v>
      </c>
      <c r="BK290" t="s">
        <v>94</v>
      </c>
      <c r="BL290" t="s">
        <v>167</v>
      </c>
      <c r="BM290" t="s">
        <v>4065</v>
      </c>
      <c r="BN290" t="s">
        <v>74</v>
      </c>
      <c r="BO290" t="s">
        <v>74</v>
      </c>
      <c r="BP290" t="s">
        <v>74</v>
      </c>
      <c r="BQ290" t="s">
        <v>74</v>
      </c>
      <c r="BR290" t="s">
        <v>97</v>
      </c>
      <c r="BS290" t="s">
        <v>4066</v>
      </c>
      <c r="BT290" t="str">
        <f>HYPERLINK("https%3A%2F%2Fwww.webofscience.com%2Fwos%2Fwoscc%2Ffull-record%2FWOS:000166868000011","View Full Record in Web of Science")</f>
        <v>View Full Record in Web of Science</v>
      </c>
    </row>
    <row r="291" spans="1:72" x14ac:dyDescent="0.15">
      <c r="A291" t="s">
        <v>72</v>
      </c>
      <c r="B291" t="s">
        <v>4067</v>
      </c>
      <c r="C291" t="s">
        <v>74</v>
      </c>
      <c r="D291" t="s">
        <v>74</v>
      </c>
      <c r="E291" t="s">
        <v>74</v>
      </c>
      <c r="F291" t="s">
        <v>4067</v>
      </c>
      <c r="G291" t="s">
        <v>74</v>
      </c>
      <c r="H291" t="s">
        <v>74</v>
      </c>
      <c r="I291" t="s">
        <v>4068</v>
      </c>
      <c r="J291" t="s">
        <v>4051</v>
      </c>
      <c r="K291" t="s">
        <v>74</v>
      </c>
      <c r="L291" t="s">
        <v>74</v>
      </c>
      <c r="M291" t="s">
        <v>77</v>
      </c>
      <c r="N291" t="s">
        <v>78</v>
      </c>
      <c r="O291" t="s">
        <v>74</v>
      </c>
      <c r="P291" t="s">
        <v>74</v>
      </c>
      <c r="Q291" t="s">
        <v>74</v>
      </c>
      <c r="R291" t="s">
        <v>74</v>
      </c>
      <c r="S291" t="s">
        <v>74</v>
      </c>
      <c r="T291" t="s">
        <v>4069</v>
      </c>
      <c r="U291" t="s">
        <v>4070</v>
      </c>
      <c r="V291" t="s">
        <v>4071</v>
      </c>
      <c r="W291" t="s">
        <v>4072</v>
      </c>
      <c r="X291" t="s">
        <v>4073</v>
      </c>
      <c r="Y291" t="s">
        <v>4074</v>
      </c>
      <c r="Z291" t="s">
        <v>74</v>
      </c>
      <c r="AA291" t="s">
        <v>74</v>
      </c>
      <c r="AB291" t="s">
        <v>74</v>
      </c>
      <c r="AC291" t="s">
        <v>74</v>
      </c>
      <c r="AD291" t="s">
        <v>74</v>
      </c>
      <c r="AE291" t="s">
        <v>74</v>
      </c>
      <c r="AF291" t="s">
        <v>74</v>
      </c>
      <c r="AG291">
        <v>24</v>
      </c>
      <c r="AH291">
        <v>23</v>
      </c>
      <c r="AI291">
        <v>28</v>
      </c>
      <c r="AJ291">
        <v>1</v>
      </c>
      <c r="AK291">
        <v>3</v>
      </c>
      <c r="AL291" t="s">
        <v>4058</v>
      </c>
      <c r="AM291" t="s">
        <v>4059</v>
      </c>
      <c r="AN291" t="s">
        <v>4060</v>
      </c>
      <c r="AO291" t="s">
        <v>4061</v>
      </c>
      <c r="AP291" t="s">
        <v>74</v>
      </c>
      <c r="AQ291" t="s">
        <v>74</v>
      </c>
      <c r="AR291" t="s">
        <v>4062</v>
      </c>
      <c r="AS291" t="s">
        <v>4063</v>
      </c>
      <c r="AT291" t="s">
        <v>91</v>
      </c>
      <c r="AU291">
        <v>2001</v>
      </c>
      <c r="AV291">
        <v>127</v>
      </c>
      <c r="AW291">
        <v>571</v>
      </c>
      <c r="AX291" t="s">
        <v>2682</v>
      </c>
      <c r="AY291" t="s">
        <v>74</v>
      </c>
      <c r="AZ291" t="s">
        <v>74</v>
      </c>
      <c r="BA291" t="s">
        <v>74</v>
      </c>
      <c r="BB291">
        <v>255</v>
      </c>
      <c r="BC291">
        <v>260</v>
      </c>
      <c r="BD291" t="s">
        <v>74</v>
      </c>
      <c r="BE291" t="s">
        <v>4075</v>
      </c>
      <c r="BF291" t="str">
        <f>HYPERLINK("http://dx.doi.org/10.1002/qj.49712757114","http://dx.doi.org/10.1002/qj.49712757114")</f>
        <v>http://dx.doi.org/10.1002/qj.49712757114</v>
      </c>
      <c r="BG291" t="s">
        <v>74</v>
      </c>
      <c r="BH291" t="s">
        <v>74</v>
      </c>
      <c r="BI291">
        <v>6</v>
      </c>
      <c r="BJ291" t="s">
        <v>167</v>
      </c>
      <c r="BK291" t="s">
        <v>94</v>
      </c>
      <c r="BL291" t="s">
        <v>167</v>
      </c>
      <c r="BM291" t="s">
        <v>4065</v>
      </c>
      <c r="BN291" t="s">
        <v>74</v>
      </c>
      <c r="BO291" t="s">
        <v>74</v>
      </c>
      <c r="BP291" t="s">
        <v>74</v>
      </c>
      <c r="BQ291" t="s">
        <v>74</v>
      </c>
      <c r="BR291" t="s">
        <v>97</v>
      </c>
      <c r="BS291" t="s">
        <v>4076</v>
      </c>
      <c r="BT291" t="str">
        <f>HYPERLINK("https%3A%2F%2Fwww.webofscience.com%2Fwos%2Fwoscc%2Ffull-record%2FWOS:000166868000013","View Full Record in Web of Science")</f>
        <v>View Full Record in Web of Science</v>
      </c>
    </row>
    <row r="292" spans="1:72" x14ac:dyDescent="0.15">
      <c r="A292" t="s">
        <v>72</v>
      </c>
      <c r="B292" t="s">
        <v>4077</v>
      </c>
      <c r="C292" t="s">
        <v>74</v>
      </c>
      <c r="D292" t="s">
        <v>74</v>
      </c>
      <c r="E292" t="s">
        <v>74</v>
      </c>
      <c r="F292" t="s">
        <v>4077</v>
      </c>
      <c r="G292" t="s">
        <v>74</v>
      </c>
      <c r="H292" t="s">
        <v>74</v>
      </c>
      <c r="I292" t="s">
        <v>4078</v>
      </c>
      <c r="J292" t="s">
        <v>4051</v>
      </c>
      <c r="K292" t="s">
        <v>74</v>
      </c>
      <c r="L292" t="s">
        <v>74</v>
      </c>
      <c r="M292" t="s">
        <v>77</v>
      </c>
      <c r="N292" t="s">
        <v>78</v>
      </c>
      <c r="O292" t="s">
        <v>74</v>
      </c>
      <c r="P292" t="s">
        <v>74</v>
      </c>
      <c r="Q292" t="s">
        <v>74</v>
      </c>
      <c r="R292" t="s">
        <v>74</v>
      </c>
      <c r="S292" t="s">
        <v>74</v>
      </c>
      <c r="T292" t="s">
        <v>4079</v>
      </c>
      <c r="U292" t="s">
        <v>4080</v>
      </c>
      <c r="V292" t="s">
        <v>4081</v>
      </c>
      <c r="W292" t="s">
        <v>4082</v>
      </c>
      <c r="X292" t="s">
        <v>1491</v>
      </c>
      <c r="Y292" t="s">
        <v>4083</v>
      </c>
      <c r="Z292" t="s">
        <v>74</v>
      </c>
      <c r="AA292" t="s">
        <v>74</v>
      </c>
      <c r="AB292" t="s">
        <v>74</v>
      </c>
      <c r="AC292" t="s">
        <v>74</v>
      </c>
      <c r="AD292" t="s">
        <v>74</v>
      </c>
      <c r="AE292" t="s">
        <v>74</v>
      </c>
      <c r="AF292" t="s">
        <v>74</v>
      </c>
      <c r="AG292">
        <v>34</v>
      </c>
      <c r="AH292">
        <v>49</v>
      </c>
      <c r="AI292">
        <v>52</v>
      </c>
      <c r="AJ292">
        <v>0</v>
      </c>
      <c r="AK292">
        <v>19</v>
      </c>
      <c r="AL292" t="s">
        <v>4058</v>
      </c>
      <c r="AM292" t="s">
        <v>4059</v>
      </c>
      <c r="AN292" t="s">
        <v>4060</v>
      </c>
      <c r="AO292" t="s">
        <v>4061</v>
      </c>
      <c r="AP292" t="s">
        <v>74</v>
      </c>
      <c r="AQ292" t="s">
        <v>74</v>
      </c>
      <c r="AR292" t="s">
        <v>4062</v>
      </c>
      <c r="AS292" t="s">
        <v>4063</v>
      </c>
      <c r="AT292" t="s">
        <v>91</v>
      </c>
      <c r="AU292">
        <v>2001</v>
      </c>
      <c r="AV292">
        <v>127</v>
      </c>
      <c r="AW292">
        <v>572</v>
      </c>
      <c r="AX292" t="s">
        <v>99</v>
      </c>
      <c r="AY292" t="s">
        <v>74</v>
      </c>
      <c r="AZ292" t="s">
        <v>74</v>
      </c>
      <c r="BA292" t="s">
        <v>74</v>
      </c>
      <c r="BB292">
        <v>305</v>
      </c>
      <c r="BC292">
        <v>313</v>
      </c>
      <c r="BD292" t="s">
        <v>74</v>
      </c>
      <c r="BE292" t="s">
        <v>74</v>
      </c>
      <c r="BF292" t="s">
        <v>74</v>
      </c>
      <c r="BG292" t="s">
        <v>74</v>
      </c>
      <c r="BH292" t="s">
        <v>74</v>
      </c>
      <c r="BI292">
        <v>9</v>
      </c>
      <c r="BJ292" t="s">
        <v>167</v>
      </c>
      <c r="BK292" t="s">
        <v>94</v>
      </c>
      <c r="BL292" t="s">
        <v>167</v>
      </c>
      <c r="BM292" t="s">
        <v>4084</v>
      </c>
      <c r="BN292" t="s">
        <v>74</v>
      </c>
      <c r="BO292" t="s">
        <v>74</v>
      </c>
      <c r="BP292" t="s">
        <v>74</v>
      </c>
      <c r="BQ292" t="s">
        <v>74</v>
      </c>
      <c r="BR292" t="s">
        <v>97</v>
      </c>
      <c r="BS292" t="s">
        <v>4085</v>
      </c>
      <c r="BT292" t="str">
        <f>HYPERLINK("https%3A%2F%2Fwww.webofscience.com%2Fwos%2Fwoscc%2Ffull-record%2FWOS:000167770400002","View Full Record in Web of Science")</f>
        <v>View Full Record in Web of Science</v>
      </c>
    </row>
    <row r="293" spans="1:72" x14ac:dyDescent="0.15">
      <c r="A293" t="s">
        <v>72</v>
      </c>
      <c r="B293" t="s">
        <v>4086</v>
      </c>
      <c r="C293" t="s">
        <v>74</v>
      </c>
      <c r="D293" t="s">
        <v>74</v>
      </c>
      <c r="E293" t="s">
        <v>74</v>
      </c>
      <c r="F293" t="s">
        <v>4086</v>
      </c>
      <c r="G293" t="s">
        <v>74</v>
      </c>
      <c r="H293" t="s">
        <v>74</v>
      </c>
      <c r="I293" t="s">
        <v>4087</v>
      </c>
      <c r="J293" t="s">
        <v>4088</v>
      </c>
      <c r="K293" t="s">
        <v>74</v>
      </c>
      <c r="L293" t="s">
        <v>74</v>
      </c>
      <c r="M293" t="s">
        <v>77</v>
      </c>
      <c r="N293" t="s">
        <v>576</v>
      </c>
      <c r="O293" t="s">
        <v>4089</v>
      </c>
      <c r="P293" t="s">
        <v>4090</v>
      </c>
      <c r="Q293" t="s">
        <v>4091</v>
      </c>
      <c r="R293" t="s">
        <v>74</v>
      </c>
      <c r="S293" t="s">
        <v>74</v>
      </c>
      <c r="T293" t="s">
        <v>74</v>
      </c>
      <c r="U293" t="s">
        <v>4092</v>
      </c>
      <c r="V293" t="s">
        <v>4093</v>
      </c>
      <c r="W293" t="s">
        <v>4094</v>
      </c>
      <c r="X293" t="s">
        <v>4095</v>
      </c>
      <c r="Y293" t="s">
        <v>4096</v>
      </c>
      <c r="Z293" t="s">
        <v>4097</v>
      </c>
      <c r="AA293" t="s">
        <v>4098</v>
      </c>
      <c r="AB293" t="s">
        <v>4099</v>
      </c>
      <c r="AC293" t="s">
        <v>74</v>
      </c>
      <c r="AD293" t="s">
        <v>74</v>
      </c>
      <c r="AE293" t="s">
        <v>74</v>
      </c>
      <c r="AF293" t="s">
        <v>74</v>
      </c>
      <c r="AG293">
        <v>83</v>
      </c>
      <c r="AH293">
        <v>119</v>
      </c>
      <c r="AI293">
        <v>132</v>
      </c>
      <c r="AJ293">
        <v>0</v>
      </c>
      <c r="AK293">
        <v>18</v>
      </c>
      <c r="AL293" t="s">
        <v>245</v>
      </c>
      <c r="AM293" t="s">
        <v>246</v>
      </c>
      <c r="AN293" t="s">
        <v>247</v>
      </c>
      <c r="AO293" t="s">
        <v>4100</v>
      </c>
      <c r="AP293" t="s">
        <v>4101</v>
      </c>
      <c r="AQ293" t="s">
        <v>74</v>
      </c>
      <c r="AR293" t="s">
        <v>4102</v>
      </c>
      <c r="AS293" t="s">
        <v>4103</v>
      </c>
      <c r="AT293" t="s">
        <v>74</v>
      </c>
      <c r="AU293">
        <v>2001</v>
      </c>
      <c r="AV293">
        <v>86</v>
      </c>
      <c r="AW293" t="s">
        <v>74</v>
      </c>
      <c r="AX293" t="s">
        <v>74</v>
      </c>
      <c r="AY293" t="s">
        <v>74</v>
      </c>
      <c r="AZ293" t="s">
        <v>74</v>
      </c>
      <c r="BA293" t="s">
        <v>74</v>
      </c>
      <c r="BB293">
        <v>59</v>
      </c>
      <c r="BC293">
        <v>70</v>
      </c>
      <c r="BD293" t="s">
        <v>74</v>
      </c>
      <c r="BE293" t="s">
        <v>4104</v>
      </c>
      <c r="BF293" t="str">
        <f>HYPERLINK("http://dx.doi.org/10.1016/S1040-6182(01)00050-7","http://dx.doi.org/10.1016/S1040-6182(01)00050-7")</f>
        <v>http://dx.doi.org/10.1016/S1040-6182(01)00050-7</v>
      </c>
      <c r="BG293" t="s">
        <v>74</v>
      </c>
      <c r="BH293" t="s">
        <v>74</v>
      </c>
      <c r="BI293">
        <v>12</v>
      </c>
      <c r="BJ293" t="s">
        <v>1214</v>
      </c>
      <c r="BK293" t="s">
        <v>2763</v>
      </c>
      <c r="BL293" t="s">
        <v>1215</v>
      </c>
      <c r="BM293" t="s">
        <v>4105</v>
      </c>
      <c r="BN293" t="s">
        <v>74</v>
      </c>
      <c r="BO293" t="s">
        <v>74</v>
      </c>
      <c r="BP293" t="s">
        <v>74</v>
      </c>
      <c r="BQ293" t="s">
        <v>74</v>
      </c>
      <c r="BR293" t="s">
        <v>97</v>
      </c>
      <c r="BS293" t="s">
        <v>4106</v>
      </c>
      <c r="BT293" t="str">
        <f>HYPERLINK("https%3A%2F%2Fwww.webofscience.com%2Fwos%2Fwoscc%2Ffull-record%2FWOS:000172880400005","View Full Record in Web of Science")</f>
        <v>View Full Record in Web of Science</v>
      </c>
    </row>
    <row r="294" spans="1:72" x14ac:dyDescent="0.15">
      <c r="A294" t="s">
        <v>72</v>
      </c>
      <c r="B294" t="s">
        <v>4107</v>
      </c>
      <c r="C294" t="s">
        <v>74</v>
      </c>
      <c r="D294" t="s">
        <v>74</v>
      </c>
      <c r="E294" t="s">
        <v>74</v>
      </c>
      <c r="F294" t="s">
        <v>4107</v>
      </c>
      <c r="G294" t="s">
        <v>74</v>
      </c>
      <c r="H294" t="s">
        <v>74</v>
      </c>
      <c r="I294" t="s">
        <v>4108</v>
      </c>
      <c r="J294" t="s">
        <v>4109</v>
      </c>
      <c r="K294" t="s">
        <v>74</v>
      </c>
      <c r="L294" t="s">
        <v>74</v>
      </c>
      <c r="M294" t="s">
        <v>77</v>
      </c>
      <c r="N294" t="s">
        <v>78</v>
      </c>
      <c r="O294" t="s">
        <v>74</v>
      </c>
      <c r="P294" t="s">
        <v>74</v>
      </c>
      <c r="Q294" t="s">
        <v>74</v>
      </c>
      <c r="R294" t="s">
        <v>74</v>
      </c>
      <c r="S294" t="s">
        <v>74</v>
      </c>
      <c r="T294" t="s">
        <v>4110</v>
      </c>
      <c r="U294" t="s">
        <v>4111</v>
      </c>
      <c r="V294" t="s">
        <v>4112</v>
      </c>
      <c r="W294" t="s">
        <v>4113</v>
      </c>
      <c r="X294" t="s">
        <v>4114</v>
      </c>
      <c r="Y294" t="s">
        <v>4115</v>
      </c>
      <c r="Z294" t="s">
        <v>74</v>
      </c>
      <c r="AA294" t="s">
        <v>4116</v>
      </c>
      <c r="AB294" t="s">
        <v>4117</v>
      </c>
      <c r="AC294" t="s">
        <v>74</v>
      </c>
      <c r="AD294" t="s">
        <v>74</v>
      </c>
      <c r="AE294" t="s">
        <v>74</v>
      </c>
      <c r="AF294" t="s">
        <v>74</v>
      </c>
      <c r="AG294">
        <v>47</v>
      </c>
      <c r="AH294">
        <v>68</v>
      </c>
      <c r="AI294">
        <v>74</v>
      </c>
      <c r="AJ294">
        <v>0</v>
      </c>
      <c r="AK294">
        <v>14</v>
      </c>
      <c r="AL294" t="s">
        <v>1347</v>
      </c>
      <c r="AM294" t="s">
        <v>1348</v>
      </c>
      <c r="AN294" t="s">
        <v>4118</v>
      </c>
      <c r="AO294" t="s">
        <v>4119</v>
      </c>
      <c r="AP294" t="s">
        <v>74</v>
      </c>
      <c r="AQ294" t="s">
        <v>74</v>
      </c>
      <c r="AR294" t="s">
        <v>4120</v>
      </c>
      <c r="AS294" t="s">
        <v>4121</v>
      </c>
      <c r="AT294" t="s">
        <v>91</v>
      </c>
      <c r="AU294">
        <v>2001</v>
      </c>
      <c r="AV294">
        <v>55</v>
      </c>
      <c r="AW294">
        <v>1</v>
      </c>
      <c r="AX294" t="s">
        <v>74</v>
      </c>
      <c r="AY294" t="s">
        <v>74</v>
      </c>
      <c r="AZ294" t="s">
        <v>74</v>
      </c>
      <c r="BA294" t="s">
        <v>74</v>
      </c>
      <c r="BB294">
        <v>47</v>
      </c>
      <c r="BC294">
        <v>56</v>
      </c>
      <c r="BD294" t="s">
        <v>74</v>
      </c>
      <c r="BE294" t="s">
        <v>4122</v>
      </c>
      <c r="BF294" t="str">
        <f>HYPERLINK("http://dx.doi.org/10.1006/qres.2000.2187","http://dx.doi.org/10.1006/qres.2000.2187")</f>
        <v>http://dx.doi.org/10.1006/qres.2000.2187</v>
      </c>
      <c r="BG294" t="s">
        <v>74</v>
      </c>
      <c r="BH294" t="s">
        <v>74</v>
      </c>
      <c r="BI294">
        <v>10</v>
      </c>
      <c r="BJ294" t="s">
        <v>1214</v>
      </c>
      <c r="BK294" t="s">
        <v>94</v>
      </c>
      <c r="BL294" t="s">
        <v>1215</v>
      </c>
      <c r="BM294" t="s">
        <v>4123</v>
      </c>
      <c r="BN294" t="s">
        <v>74</v>
      </c>
      <c r="BO294" t="s">
        <v>1337</v>
      </c>
      <c r="BP294" t="s">
        <v>74</v>
      </c>
      <c r="BQ294" t="s">
        <v>74</v>
      </c>
      <c r="BR294" t="s">
        <v>97</v>
      </c>
      <c r="BS294" t="s">
        <v>4124</v>
      </c>
      <c r="BT294" t="str">
        <f>HYPERLINK("https%3A%2F%2Fwww.webofscience.com%2Fwos%2Fwoscc%2Ffull-record%2FWOS:000167410300007","View Full Record in Web of Science")</f>
        <v>View Full Record in Web of Science</v>
      </c>
    </row>
    <row r="295" spans="1:72" x14ac:dyDescent="0.15">
      <c r="A295" t="s">
        <v>72</v>
      </c>
      <c r="B295" t="s">
        <v>4125</v>
      </c>
      <c r="C295" t="s">
        <v>74</v>
      </c>
      <c r="D295" t="s">
        <v>74</v>
      </c>
      <c r="E295" t="s">
        <v>74</v>
      </c>
      <c r="F295" t="s">
        <v>4125</v>
      </c>
      <c r="G295" t="s">
        <v>74</v>
      </c>
      <c r="H295" t="s">
        <v>74</v>
      </c>
      <c r="I295" t="s">
        <v>4126</v>
      </c>
      <c r="J295" t="s">
        <v>4127</v>
      </c>
      <c r="K295" t="s">
        <v>74</v>
      </c>
      <c r="L295" t="s">
        <v>74</v>
      </c>
      <c r="M295" t="s">
        <v>77</v>
      </c>
      <c r="N295" t="s">
        <v>78</v>
      </c>
      <c r="O295" t="s">
        <v>74</v>
      </c>
      <c r="P295" t="s">
        <v>74</v>
      </c>
      <c r="Q295" t="s">
        <v>74</v>
      </c>
      <c r="R295" t="s">
        <v>74</v>
      </c>
      <c r="S295" t="s">
        <v>74</v>
      </c>
      <c r="T295" t="s">
        <v>4128</v>
      </c>
      <c r="U295" t="s">
        <v>4129</v>
      </c>
      <c r="V295" t="s">
        <v>4130</v>
      </c>
      <c r="W295" t="s">
        <v>4131</v>
      </c>
      <c r="X295" t="s">
        <v>4132</v>
      </c>
      <c r="Y295" t="s">
        <v>4133</v>
      </c>
      <c r="Z295" t="s">
        <v>74</v>
      </c>
      <c r="AA295" t="s">
        <v>74</v>
      </c>
      <c r="AB295" t="s">
        <v>74</v>
      </c>
      <c r="AC295" t="s">
        <v>74</v>
      </c>
      <c r="AD295" t="s">
        <v>74</v>
      </c>
      <c r="AE295" t="s">
        <v>74</v>
      </c>
      <c r="AF295" t="s">
        <v>74</v>
      </c>
      <c r="AG295">
        <v>31</v>
      </c>
      <c r="AH295">
        <v>2</v>
      </c>
      <c r="AI295">
        <v>2</v>
      </c>
      <c r="AJ295">
        <v>0</v>
      </c>
      <c r="AK295">
        <v>4</v>
      </c>
      <c r="AL295" t="s">
        <v>4134</v>
      </c>
      <c r="AM295" t="s">
        <v>4135</v>
      </c>
      <c r="AN295" t="s">
        <v>4136</v>
      </c>
      <c r="AO295" t="s">
        <v>4137</v>
      </c>
      <c r="AP295" t="s">
        <v>74</v>
      </c>
      <c r="AQ295" t="s">
        <v>74</v>
      </c>
      <c r="AR295" t="s">
        <v>4138</v>
      </c>
      <c r="AS295" t="s">
        <v>4139</v>
      </c>
      <c r="AT295" t="s">
        <v>74</v>
      </c>
      <c r="AU295">
        <v>2001</v>
      </c>
      <c r="AV295">
        <v>20</v>
      </c>
      <c r="AW295">
        <v>1</v>
      </c>
      <c r="AX295" t="s">
        <v>74</v>
      </c>
      <c r="AY295" t="s">
        <v>74</v>
      </c>
      <c r="AZ295" t="s">
        <v>74</v>
      </c>
      <c r="BA295" t="s">
        <v>74</v>
      </c>
      <c r="BB295">
        <v>13</v>
      </c>
      <c r="BC295">
        <v>19</v>
      </c>
      <c r="BD295" t="s">
        <v>74</v>
      </c>
      <c r="BE295" t="s">
        <v>74</v>
      </c>
      <c r="BF295" t="s">
        <v>74</v>
      </c>
      <c r="BG295" t="s">
        <v>74</v>
      </c>
      <c r="BH295" t="s">
        <v>74</v>
      </c>
      <c r="BI295">
        <v>7</v>
      </c>
      <c r="BJ295" t="s">
        <v>933</v>
      </c>
      <c r="BK295" t="s">
        <v>94</v>
      </c>
      <c r="BL295" t="s">
        <v>934</v>
      </c>
      <c r="BM295" t="s">
        <v>4140</v>
      </c>
      <c r="BN295" t="s">
        <v>74</v>
      </c>
      <c r="BO295" t="s">
        <v>74</v>
      </c>
      <c r="BP295" t="s">
        <v>74</v>
      </c>
      <c r="BQ295" t="s">
        <v>74</v>
      </c>
      <c r="BR295" t="s">
        <v>97</v>
      </c>
      <c r="BS295" t="s">
        <v>4141</v>
      </c>
      <c r="BT295" t="str">
        <f>HYPERLINK("https%3A%2F%2Fwww.webofscience.com%2Fwos%2Fwoscc%2Ffull-record%2FWOS:000168013800002","View Full Record in Web of Science")</f>
        <v>View Full Record in Web of Science</v>
      </c>
    </row>
    <row r="296" spans="1:72" x14ac:dyDescent="0.15">
      <c r="A296" t="s">
        <v>209</v>
      </c>
      <c r="B296" t="s">
        <v>4142</v>
      </c>
      <c r="C296" t="s">
        <v>74</v>
      </c>
      <c r="D296" t="s">
        <v>4143</v>
      </c>
      <c r="E296" t="s">
        <v>74</v>
      </c>
      <c r="F296" t="s">
        <v>4142</v>
      </c>
      <c r="G296" t="s">
        <v>74</v>
      </c>
      <c r="H296" t="s">
        <v>74</v>
      </c>
      <c r="I296" t="s">
        <v>4144</v>
      </c>
      <c r="J296" t="s">
        <v>4145</v>
      </c>
      <c r="K296" t="s">
        <v>4146</v>
      </c>
      <c r="L296" t="s">
        <v>74</v>
      </c>
      <c r="M296" t="s">
        <v>77</v>
      </c>
      <c r="N296" t="s">
        <v>214</v>
      </c>
      <c r="O296" t="s">
        <v>4147</v>
      </c>
      <c r="P296" t="s">
        <v>4148</v>
      </c>
      <c r="Q296" t="s">
        <v>4149</v>
      </c>
      <c r="R296" t="s">
        <v>74</v>
      </c>
      <c r="S296" t="s">
        <v>74</v>
      </c>
      <c r="T296" t="s">
        <v>74</v>
      </c>
      <c r="U296" t="s">
        <v>74</v>
      </c>
      <c r="V296" t="s">
        <v>4150</v>
      </c>
      <c r="W296" t="s">
        <v>4151</v>
      </c>
      <c r="X296" t="s">
        <v>4152</v>
      </c>
      <c r="Y296" t="s">
        <v>4153</v>
      </c>
      <c r="Z296" t="s">
        <v>74</v>
      </c>
      <c r="AA296" t="s">
        <v>74</v>
      </c>
      <c r="AB296" t="s">
        <v>74</v>
      </c>
      <c r="AC296" t="s">
        <v>74</v>
      </c>
      <c r="AD296" t="s">
        <v>74</v>
      </c>
      <c r="AE296" t="s">
        <v>74</v>
      </c>
      <c r="AF296" t="s">
        <v>74</v>
      </c>
      <c r="AG296">
        <v>11</v>
      </c>
      <c r="AH296">
        <v>2</v>
      </c>
      <c r="AI296">
        <v>2</v>
      </c>
      <c r="AJ296">
        <v>1</v>
      </c>
      <c r="AK296">
        <v>1</v>
      </c>
      <c r="AL296" t="s">
        <v>4154</v>
      </c>
      <c r="AM296" t="s">
        <v>4155</v>
      </c>
      <c r="AN296" t="s">
        <v>4156</v>
      </c>
      <c r="AO296" t="s">
        <v>4157</v>
      </c>
      <c r="AP296" t="s">
        <v>74</v>
      </c>
      <c r="AQ296" t="s">
        <v>4158</v>
      </c>
      <c r="AR296" t="s">
        <v>4159</v>
      </c>
      <c r="AS296" t="s">
        <v>74</v>
      </c>
      <c r="AT296" t="s">
        <v>74</v>
      </c>
      <c r="AU296">
        <v>2001</v>
      </c>
      <c r="AV296">
        <v>579</v>
      </c>
      <c r="AW296" t="s">
        <v>74</v>
      </c>
      <c r="AX296" t="s">
        <v>74</v>
      </c>
      <c r="AY296" t="s">
        <v>74</v>
      </c>
      <c r="AZ296" t="s">
        <v>74</v>
      </c>
      <c r="BA296" t="s">
        <v>74</v>
      </c>
      <c r="BB296">
        <v>111</v>
      </c>
      <c r="BC296">
        <v>114</v>
      </c>
      <c r="BD296" t="s">
        <v>74</v>
      </c>
      <c r="BE296" t="s">
        <v>74</v>
      </c>
      <c r="BF296" t="s">
        <v>74</v>
      </c>
      <c r="BG296" t="s">
        <v>74</v>
      </c>
      <c r="BH296" t="s">
        <v>74</v>
      </c>
      <c r="BI296">
        <v>4</v>
      </c>
      <c r="BJ296" t="s">
        <v>1155</v>
      </c>
      <c r="BK296" t="s">
        <v>229</v>
      </c>
      <c r="BL296" t="s">
        <v>1156</v>
      </c>
      <c r="BM296" t="s">
        <v>4160</v>
      </c>
      <c r="BN296" t="s">
        <v>74</v>
      </c>
      <c r="BO296" t="s">
        <v>74</v>
      </c>
      <c r="BP296" t="s">
        <v>74</v>
      </c>
      <c r="BQ296" t="s">
        <v>74</v>
      </c>
      <c r="BR296" t="s">
        <v>97</v>
      </c>
      <c r="BS296" t="s">
        <v>4161</v>
      </c>
      <c r="BT296" t="str">
        <f>HYPERLINK("https%3A%2F%2Fwww.webofscience.com%2Fwos%2Fwoscc%2Ffull-record%2FWOS:000171562900010","View Full Record in Web of Science")</f>
        <v>View Full Record in Web of Science</v>
      </c>
    </row>
    <row r="297" spans="1:72" x14ac:dyDescent="0.15">
      <c r="A297" t="s">
        <v>209</v>
      </c>
      <c r="B297" t="s">
        <v>4162</v>
      </c>
      <c r="C297" t="s">
        <v>74</v>
      </c>
      <c r="D297" t="s">
        <v>4143</v>
      </c>
      <c r="E297" t="s">
        <v>74</v>
      </c>
      <c r="F297" t="s">
        <v>4162</v>
      </c>
      <c r="G297" t="s">
        <v>74</v>
      </c>
      <c r="H297" t="s">
        <v>74</v>
      </c>
      <c r="I297" t="s">
        <v>4163</v>
      </c>
      <c r="J297" t="s">
        <v>4145</v>
      </c>
      <c r="K297" t="s">
        <v>4146</v>
      </c>
      <c r="L297" t="s">
        <v>74</v>
      </c>
      <c r="M297" t="s">
        <v>77</v>
      </c>
      <c r="N297" t="s">
        <v>214</v>
      </c>
      <c r="O297" t="s">
        <v>4147</v>
      </c>
      <c r="P297" t="s">
        <v>4148</v>
      </c>
      <c r="Q297" t="s">
        <v>4149</v>
      </c>
      <c r="R297" t="s">
        <v>74</v>
      </c>
      <c r="S297" t="s">
        <v>74</v>
      </c>
      <c r="T297" t="s">
        <v>74</v>
      </c>
      <c r="U297" t="s">
        <v>4164</v>
      </c>
      <c r="V297" t="s">
        <v>4165</v>
      </c>
      <c r="W297" t="s">
        <v>4166</v>
      </c>
      <c r="X297" t="s">
        <v>3004</v>
      </c>
      <c r="Y297" t="s">
        <v>4167</v>
      </c>
      <c r="Z297" t="s">
        <v>74</v>
      </c>
      <c r="AA297" t="s">
        <v>4168</v>
      </c>
      <c r="AB297" t="s">
        <v>4169</v>
      </c>
      <c r="AC297" t="s">
        <v>74</v>
      </c>
      <c r="AD297" t="s">
        <v>74</v>
      </c>
      <c r="AE297" t="s">
        <v>74</v>
      </c>
      <c r="AF297" t="s">
        <v>74</v>
      </c>
      <c r="AG297">
        <v>19</v>
      </c>
      <c r="AH297">
        <v>4</v>
      </c>
      <c r="AI297">
        <v>4</v>
      </c>
      <c r="AJ297">
        <v>0</v>
      </c>
      <c r="AK297">
        <v>0</v>
      </c>
      <c r="AL297" t="s">
        <v>4154</v>
      </c>
      <c r="AM297" t="s">
        <v>4155</v>
      </c>
      <c r="AN297" t="s">
        <v>4156</v>
      </c>
      <c r="AO297" t="s">
        <v>4157</v>
      </c>
      <c r="AP297" t="s">
        <v>74</v>
      </c>
      <c r="AQ297" t="s">
        <v>4158</v>
      </c>
      <c r="AR297" t="s">
        <v>4159</v>
      </c>
      <c r="AS297" t="s">
        <v>74</v>
      </c>
      <c r="AT297" t="s">
        <v>74</v>
      </c>
      <c r="AU297">
        <v>2001</v>
      </c>
      <c r="AV297">
        <v>579</v>
      </c>
      <c r="AW297" t="s">
        <v>74</v>
      </c>
      <c r="AX297" t="s">
        <v>74</v>
      </c>
      <c r="AY297" t="s">
        <v>74</v>
      </c>
      <c r="AZ297" t="s">
        <v>74</v>
      </c>
      <c r="BA297" t="s">
        <v>74</v>
      </c>
      <c r="BB297">
        <v>117</v>
      </c>
      <c r="BC297">
        <v>127</v>
      </c>
      <c r="BD297" t="s">
        <v>74</v>
      </c>
      <c r="BE297" t="s">
        <v>74</v>
      </c>
      <c r="BF297" t="s">
        <v>74</v>
      </c>
      <c r="BG297" t="s">
        <v>74</v>
      </c>
      <c r="BH297" t="s">
        <v>74</v>
      </c>
      <c r="BI297">
        <v>11</v>
      </c>
      <c r="BJ297" t="s">
        <v>1155</v>
      </c>
      <c r="BK297" t="s">
        <v>229</v>
      </c>
      <c r="BL297" t="s">
        <v>1156</v>
      </c>
      <c r="BM297" t="s">
        <v>4160</v>
      </c>
      <c r="BN297" t="s">
        <v>74</v>
      </c>
      <c r="BO297" t="s">
        <v>296</v>
      </c>
      <c r="BP297" t="s">
        <v>74</v>
      </c>
      <c r="BQ297" t="s">
        <v>74</v>
      </c>
      <c r="BR297" t="s">
        <v>97</v>
      </c>
      <c r="BS297" t="s">
        <v>4170</v>
      </c>
      <c r="BT297" t="str">
        <f>HYPERLINK("https%3A%2F%2Fwww.webofscience.com%2Fwos%2Fwoscc%2Ffull-record%2FWOS:000171562900011","View Full Record in Web of Science")</f>
        <v>View Full Record in Web of Science</v>
      </c>
    </row>
    <row r="298" spans="1:72" x14ac:dyDescent="0.15">
      <c r="A298" t="s">
        <v>209</v>
      </c>
      <c r="B298" t="s">
        <v>4171</v>
      </c>
      <c r="C298" t="s">
        <v>74</v>
      </c>
      <c r="D298" t="s">
        <v>4143</v>
      </c>
      <c r="E298" t="s">
        <v>74</v>
      </c>
      <c r="F298" t="s">
        <v>4171</v>
      </c>
      <c r="G298" t="s">
        <v>74</v>
      </c>
      <c r="H298" t="s">
        <v>74</v>
      </c>
      <c r="I298" t="s">
        <v>4172</v>
      </c>
      <c r="J298" t="s">
        <v>4145</v>
      </c>
      <c r="K298" t="s">
        <v>4173</v>
      </c>
      <c r="L298" t="s">
        <v>74</v>
      </c>
      <c r="M298" t="s">
        <v>77</v>
      </c>
      <c r="N298" t="s">
        <v>214</v>
      </c>
      <c r="O298" t="s">
        <v>4147</v>
      </c>
      <c r="P298" t="s">
        <v>4148</v>
      </c>
      <c r="Q298" t="s">
        <v>4149</v>
      </c>
      <c r="R298" t="s">
        <v>74</v>
      </c>
      <c r="S298" t="s">
        <v>74</v>
      </c>
      <c r="T298" t="s">
        <v>74</v>
      </c>
      <c r="U298" t="s">
        <v>4174</v>
      </c>
      <c r="V298" t="s">
        <v>4175</v>
      </c>
      <c r="W298" t="s">
        <v>4176</v>
      </c>
      <c r="X298" t="s">
        <v>3004</v>
      </c>
      <c r="Y298" t="s">
        <v>4177</v>
      </c>
      <c r="Z298" t="s">
        <v>74</v>
      </c>
      <c r="AA298" t="s">
        <v>74</v>
      </c>
      <c r="AB298" t="s">
        <v>74</v>
      </c>
      <c r="AC298" t="s">
        <v>74</v>
      </c>
      <c r="AD298" t="s">
        <v>74</v>
      </c>
      <c r="AE298" t="s">
        <v>74</v>
      </c>
      <c r="AF298" t="s">
        <v>74</v>
      </c>
      <c r="AG298">
        <v>17</v>
      </c>
      <c r="AH298">
        <v>4</v>
      </c>
      <c r="AI298">
        <v>6</v>
      </c>
      <c r="AJ298">
        <v>0</v>
      </c>
      <c r="AK298">
        <v>1</v>
      </c>
      <c r="AL298" t="s">
        <v>4154</v>
      </c>
      <c r="AM298" t="s">
        <v>4155</v>
      </c>
      <c r="AN298" t="s">
        <v>4156</v>
      </c>
      <c r="AO298" t="s">
        <v>4157</v>
      </c>
      <c r="AP298" t="s">
        <v>74</v>
      </c>
      <c r="AQ298" t="s">
        <v>4158</v>
      </c>
      <c r="AR298" t="s">
        <v>4159</v>
      </c>
      <c r="AS298" t="s">
        <v>74</v>
      </c>
      <c r="AT298" t="s">
        <v>74</v>
      </c>
      <c r="AU298">
        <v>2001</v>
      </c>
      <c r="AV298">
        <v>579</v>
      </c>
      <c r="AW298" t="s">
        <v>74</v>
      </c>
      <c r="AX298" t="s">
        <v>74</v>
      </c>
      <c r="AY298" t="s">
        <v>74</v>
      </c>
      <c r="AZ298" t="s">
        <v>74</v>
      </c>
      <c r="BA298" t="s">
        <v>74</v>
      </c>
      <c r="BB298">
        <v>196</v>
      </c>
      <c r="BC298">
        <v>203</v>
      </c>
      <c r="BD298" t="s">
        <v>74</v>
      </c>
      <c r="BE298" t="s">
        <v>74</v>
      </c>
      <c r="BF298" t="s">
        <v>74</v>
      </c>
      <c r="BG298" t="s">
        <v>74</v>
      </c>
      <c r="BH298" t="s">
        <v>74</v>
      </c>
      <c r="BI298">
        <v>8</v>
      </c>
      <c r="BJ298" t="s">
        <v>1155</v>
      </c>
      <c r="BK298" t="s">
        <v>229</v>
      </c>
      <c r="BL298" t="s">
        <v>1156</v>
      </c>
      <c r="BM298" t="s">
        <v>4160</v>
      </c>
      <c r="BN298" t="s">
        <v>74</v>
      </c>
      <c r="BO298" t="s">
        <v>296</v>
      </c>
      <c r="BP298" t="s">
        <v>74</v>
      </c>
      <c r="BQ298" t="s">
        <v>74</v>
      </c>
      <c r="BR298" t="s">
        <v>97</v>
      </c>
      <c r="BS298" t="s">
        <v>4178</v>
      </c>
      <c r="BT298" t="str">
        <f>HYPERLINK("https%3A%2F%2Fwww.webofscience.com%2Fwos%2Fwoscc%2Ffull-record%2FWOS:000171562900019","View Full Record in Web of Science")</f>
        <v>View Full Record in Web of Science</v>
      </c>
    </row>
    <row r="299" spans="1:72" x14ac:dyDescent="0.15">
      <c r="A299" t="s">
        <v>209</v>
      </c>
      <c r="B299" t="s">
        <v>4179</v>
      </c>
      <c r="C299" t="s">
        <v>74</v>
      </c>
      <c r="D299" t="s">
        <v>4143</v>
      </c>
      <c r="E299" t="s">
        <v>74</v>
      </c>
      <c r="F299" t="s">
        <v>4179</v>
      </c>
      <c r="G299" t="s">
        <v>74</v>
      </c>
      <c r="H299" t="s">
        <v>74</v>
      </c>
      <c r="I299" t="s">
        <v>4180</v>
      </c>
      <c r="J299" t="s">
        <v>4145</v>
      </c>
      <c r="K299" t="s">
        <v>4146</v>
      </c>
      <c r="L299" t="s">
        <v>74</v>
      </c>
      <c r="M299" t="s">
        <v>77</v>
      </c>
      <c r="N299" t="s">
        <v>214</v>
      </c>
      <c r="O299" t="s">
        <v>4147</v>
      </c>
      <c r="P299" t="s">
        <v>4148</v>
      </c>
      <c r="Q299" t="s">
        <v>4149</v>
      </c>
      <c r="R299" t="s">
        <v>74</v>
      </c>
      <c r="S299" t="s">
        <v>74</v>
      </c>
      <c r="T299" t="s">
        <v>74</v>
      </c>
      <c r="U299" t="s">
        <v>4181</v>
      </c>
      <c r="V299" t="s">
        <v>4182</v>
      </c>
      <c r="W299" t="s">
        <v>4151</v>
      </c>
      <c r="X299" t="s">
        <v>4152</v>
      </c>
      <c r="Y299" t="s">
        <v>4183</v>
      </c>
      <c r="Z299" t="s">
        <v>74</v>
      </c>
      <c r="AA299" t="s">
        <v>74</v>
      </c>
      <c r="AB299" t="s">
        <v>74</v>
      </c>
      <c r="AC299" t="s">
        <v>74</v>
      </c>
      <c r="AD299" t="s">
        <v>74</v>
      </c>
      <c r="AE299" t="s">
        <v>74</v>
      </c>
      <c r="AF299" t="s">
        <v>74</v>
      </c>
      <c r="AG299">
        <v>18</v>
      </c>
      <c r="AH299">
        <v>0</v>
      </c>
      <c r="AI299">
        <v>0</v>
      </c>
      <c r="AJ299">
        <v>0</v>
      </c>
      <c r="AK299">
        <v>0</v>
      </c>
      <c r="AL299" t="s">
        <v>4154</v>
      </c>
      <c r="AM299" t="s">
        <v>4155</v>
      </c>
      <c r="AN299" t="s">
        <v>4156</v>
      </c>
      <c r="AO299" t="s">
        <v>4157</v>
      </c>
      <c r="AP299" t="s">
        <v>74</v>
      </c>
      <c r="AQ299" t="s">
        <v>4158</v>
      </c>
      <c r="AR299" t="s">
        <v>4159</v>
      </c>
      <c r="AS299" t="s">
        <v>74</v>
      </c>
      <c r="AT299" t="s">
        <v>74</v>
      </c>
      <c r="AU299">
        <v>2001</v>
      </c>
      <c r="AV299">
        <v>579</v>
      </c>
      <c r="AW299" t="s">
        <v>74</v>
      </c>
      <c r="AX299" t="s">
        <v>74</v>
      </c>
      <c r="AY299" t="s">
        <v>74</v>
      </c>
      <c r="AZ299" t="s">
        <v>74</v>
      </c>
      <c r="BA299" t="s">
        <v>74</v>
      </c>
      <c r="BB299">
        <v>241</v>
      </c>
      <c r="BC299">
        <v>249</v>
      </c>
      <c r="BD299" t="s">
        <v>74</v>
      </c>
      <c r="BE299" t="s">
        <v>74</v>
      </c>
      <c r="BF299" t="s">
        <v>74</v>
      </c>
      <c r="BG299" t="s">
        <v>74</v>
      </c>
      <c r="BH299" t="s">
        <v>74</v>
      </c>
      <c r="BI299">
        <v>9</v>
      </c>
      <c r="BJ299" t="s">
        <v>1155</v>
      </c>
      <c r="BK299" t="s">
        <v>229</v>
      </c>
      <c r="BL299" t="s">
        <v>1156</v>
      </c>
      <c r="BM299" t="s">
        <v>4160</v>
      </c>
      <c r="BN299" t="s">
        <v>74</v>
      </c>
      <c r="BO299" t="s">
        <v>74</v>
      </c>
      <c r="BP299" t="s">
        <v>74</v>
      </c>
      <c r="BQ299" t="s">
        <v>74</v>
      </c>
      <c r="BR299" t="s">
        <v>97</v>
      </c>
      <c r="BS299" t="s">
        <v>4184</v>
      </c>
      <c r="BT299" t="str">
        <f>HYPERLINK("https%3A%2F%2Fwww.webofscience.com%2Fwos%2Fwoscc%2Ffull-record%2FWOS:000171562900023","View Full Record in Web of Science")</f>
        <v>View Full Record in Web of Science</v>
      </c>
    </row>
    <row r="300" spans="1:72" x14ac:dyDescent="0.15">
      <c r="A300" t="s">
        <v>72</v>
      </c>
      <c r="B300" t="s">
        <v>4185</v>
      </c>
      <c r="C300" t="s">
        <v>74</v>
      </c>
      <c r="D300" t="s">
        <v>74</v>
      </c>
      <c r="E300" t="s">
        <v>74</v>
      </c>
      <c r="F300" t="s">
        <v>4185</v>
      </c>
      <c r="G300" t="s">
        <v>74</v>
      </c>
      <c r="H300" t="s">
        <v>74</v>
      </c>
      <c r="I300" t="s">
        <v>4186</v>
      </c>
      <c r="J300" t="s">
        <v>4187</v>
      </c>
      <c r="K300" t="s">
        <v>74</v>
      </c>
      <c r="L300" t="s">
        <v>74</v>
      </c>
      <c r="M300" t="s">
        <v>77</v>
      </c>
      <c r="N300" t="s">
        <v>78</v>
      </c>
      <c r="O300" t="s">
        <v>74</v>
      </c>
      <c r="P300" t="s">
        <v>74</v>
      </c>
      <c r="Q300" t="s">
        <v>74</v>
      </c>
      <c r="R300" t="s">
        <v>74</v>
      </c>
      <c r="S300" t="s">
        <v>74</v>
      </c>
      <c r="T300" t="s">
        <v>74</v>
      </c>
      <c r="U300" t="s">
        <v>4188</v>
      </c>
      <c r="V300" t="s">
        <v>4189</v>
      </c>
      <c r="W300" t="s">
        <v>4190</v>
      </c>
      <c r="X300" t="s">
        <v>4191</v>
      </c>
      <c r="Y300" t="s">
        <v>4192</v>
      </c>
      <c r="Z300" t="s">
        <v>74</v>
      </c>
      <c r="AA300" t="s">
        <v>4193</v>
      </c>
      <c r="AB300" t="s">
        <v>4194</v>
      </c>
      <c r="AC300" t="s">
        <v>74</v>
      </c>
      <c r="AD300" t="s">
        <v>74</v>
      </c>
      <c r="AE300" t="s">
        <v>74</v>
      </c>
      <c r="AF300" t="s">
        <v>74</v>
      </c>
      <c r="AG300">
        <v>49</v>
      </c>
      <c r="AH300">
        <v>13</v>
      </c>
      <c r="AI300">
        <v>16</v>
      </c>
      <c r="AJ300">
        <v>0</v>
      </c>
      <c r="AK300">
        <v>0</v>
      </c>
      <c r="AL300" t="s">
        <v>1059</v>
      </c>
      <c r="AM300" t="s">
        <v>1060</v>
      </c>
      <c r="AN300" t="s">
        <v>1061</v>
      </c>
      <c r="AO300" t="s">
        <v>4195</v>
      </c>
      <c r="AP300" t="s">
        <v>74</v>
      </c>
      <c r="AQ300" t="s">
        <v>74</v>
      </c>
      <c r="AR300" t="s">
        <v>4196</v>
      </c>
      <c r="AS300" t="s">
        <v>4197</v>
      </c>
      <c r="AT300" t="s">
        <v>1013</v>
      </c>
      <c r="AU300">
        <v>2001</v>
      </c>
      <c r="AV300">
        <v>36</v>
      </c>
      <c r="AW300">
        <v>1</v>
      </c>
      <c r="AX300" t="s">
        <v>74</v>
      </c>
      <c r="AY300" t="s">
        <v>74</v>
      </c>
      <c r="AZ300" t="s">
        <v>74</v>
      </c>
      <c r="BA300" t="s">
        <v>74</v>
      </c>
      <c r="BB300">
        <v>151</v>
      </c>
      <c r="BC300">
        <v>169</v>
      </c>
      <c r="BD300" t="s">
        <v>74</v>
      </c>
      <c r="BE300" t="s">
        <v>4198</v>
      </c>
      <c r="BF300" t="str">
        <f>HYPERLINK("http://dx.doi.org/10.1029/1999RS002297","http://dx.doi.org/10.1029/1999RS002297")</f>
        <v>http://dx.doi.org/10.1029/1999RS002297</v>
      </c>
      <c r="BG300" t="s">
        <v>74</v>
      </c>
      <c r="BH300" t="s">
        <v>74</v>
      </c>
      <c r="BI300">
        <v>19</v>
      </c>
      <c r="BJ300" t="s">
        <v>4199</v>
      </c>
      <c r="BK300" t="s">
        <v>94</v>
      </c>
      <c r="BL300" t="s">
        <v>4199</v>
      </c>
      <c r="BM300" t="s">
        <v>4200</v>
      </c>
      <c r="BN300" t="s">
        <v>74</v>
      </c>
      <c r="BO300" t="s">
        <v>74</v>
      </c>
      <c r="BP300" t="s">
        <v>74</v>
      </c>
      <c r="BQ300" t="s">
        <v>74</v>
      </c>
      <c r="BR300" t="s">
        <v>97</v>
      </c>
      <c r="BS300" t="s">
        <v>4201</v>
      </c>
      <c r="BT300" t="str">
        <f>HYPERLINK("https%3A%2F%2Fwww.webofscience.com%2Fwos%2Fwoscc%2Ffull-record%2FWOS:000166584200013","View Full Record in Web of Science")</f>
        <v>View Full Record in Web of Science</v>
      </c>
    </row>
    <row r="301" spans="1:72" x14ac:dyDescent="0.15">
      <c r="A301" t="s">
        <v>72</v>
      </c>
      <c r="B301" t="s">
        <v>4202</v>
      </c>
      <c r="C301" t="s">
        <v>74</v>
      </c>
      <c r="D301" t="s">
        <v>74</v>
      </c>
      <c r="E301" t="s">
        <v>74</v>
      </c>
      <c r="F301" t="s">
        <v>4202</v>
      </c>
      <c r="G301" t="s">
        <v>74</v>
      </c>
      <c r="H301" t="s">
        <v>74</v>
      </c>
      <c r="I301" t="s">
        <v>4203</v>
      </c>
      <c r="J301" t="s">
        <v>4204</v>
      </c>
      <c r="K301" t="s">
        <v>74</v>
      </c>
      <c r="L301" t="s">
        <v>74</v>
      </c>
      <c r="M301" t="s">
        <v>77</v>
      </c>
      <c r="N301" t="s">
        <v>576</v>
      </c>
      <c r="O301" t="s">
        <v>4205</v>
      </c>
      <c r="P301" t="s">
        <v>4206</v>
      </c>
      <c r="Q301" t="s">
        <v>4207</v>
      </c>
      <c r="R301" t="s">
        <v>74</v>
      </c>
      <c r="S301" t="s">
        <v>74</v>
      </c>
      <c r="T301" t="s">
        <v>74</v>
      </c>
      <c r="U301" t="s">
        <v>4208</v>
      </c>
      <c r="V301" t="s">
        <v>4209</v>
      </c>
      <c r="W301" t="s">
        <v>4210</v>
      </c>
      <c r="X301" t="s">
        <v>4211</v>
      </c>
      <c r="Y301" t="s">
        <v>4212</v>
      </c>
      <c r="Z301" t="s">
        <v>74</v>
      </c>
      <c r="AA301" t="s">
        <v>74</v>
      </c>
      <c r="AB301" t="s">
        <v>74</v>
      </c>
      <c r="AC301" t="s">
        <v>74</v>
      </c>
      <c r="AD301" t="s">
        <v>74</v>
      </c>
      <c r="AE301" t="s">
        <v>74</v>
      </c>
      <c r="AF301" t="s">
        <v>74</v>
      </c>
      <c r="AG301">
        <v>24</v>
      </c>
      <c r="AH301">
        <v>5</v>
      </c>
      <c r="AI301">
        <v>5</v>
      </c>
      <c r="AJ301">
        <v>0</v>
      </c>
      <c r="AK301">
        <v>1</v>
      </c>
      <c r="AL301" t="s">
        <v>4213</v>
      </c>
      <c r="AM301" t="s">
        <v>4214</v>
      </c>
      <c r="AN301" t="s">
        <v>4215</v>
      </c>
      <c r="AO301" t="s">
        <v>4216</v>
      </c>
      <c r="AP301" t="s">
        <v>74</v>
      </c>
      <c r="AQ301" t="s">
        <v>74</v>
      </c>
      <c r="AR301" t="s">
        <v>4204</v>
      </c>
      <c r="AS301" t="s">
        <v>4217</v>
      </c>
      <c r="AT301" t="s">
        <v>74</v>
      </c>
      <c r="AU301">
        <v>2001</v>
      </c>
      <c r="AV301">
        <v>43</v>
      </c>
      <c r="AW301" t="s">
        <v>4218</v>
      </c>
      <c r="AX301">
        <v>1</v>
      </c>
      <c r="AY301" t="s">
        <v>74</v>
      </c>
      <c r="AZ301" t="s">
        <v>74</v>
      </c>
      <c r="BA301" t="s">
        <v>74</v>
      </c>
      <c r="BB301">
        <v>263</v>
      </c>
      <c r="BC301">
        <v>269</v>
      </c>
      <c r="BD301" t="s">
        <v>74</v>
      </c>
      <c r="BE301" t="s">
        <v>74</v>
      </c>
      <c r="BF301" t="s">
        <v>74</v>
      </c>
      <c r="BG301" t="s">
        <v>74</v>
      </c>
      <c r="BH301" t="s">
        <v>74</v>
      </c>
      <c r="BI301">
        <v>7</v>
      </c>
      <c r="BJ301" t="s">
        <v>953</v>
      </c>
      <c r="BK301" t="s">
        <v>596</v>
      </c>
      <c r="BL301" t="s">
        <v>953</v>
      </c>
      <c r="BM301" t="s">
        <v>4219</v>
      </c>
      <c r="BN301" t="s">
        <v>74</v>
      </c>
      <c r="BO301" t="s">
        <v>74</v>
      </c>
      <c r="BP301" t="s">
        <v>74</v>
      </c>
      <c r="BQ301" t="s">
        <v>74</v>
      </c>
      <c r="BR301" t="s">
        <v>97</v>
      </c>
      <c r="BS301" t="s">
        <v>4220</v>
      </c>
      <c r="BT301" t="str">
        <f>HYPERLINK("https%3A%2F%2Fwww.webofscience.com%2Fwos%2Fwoscc%2Ffull-record%2FWOS:000174444000020","View Full Record in Web of Science")</f>
        <v>View Full Record in Web of Science</v>
      </c>
    </row>
    <row r="302" spans="1:72" x14ac:dyDescent="0.15">
      <c r="A302" t="s">
        <v>72</v>
      </c>
      <c r="B302" t="s">
        <v>4221</v>
      </c>
      <c r="C302" t="s">
        <v>74</v>
      </c>
      <c r="D302" t="s">
        <v>74</v>
      </c>
      <c r="E302" t="s">
        <v>74</v>
      </c>
      <c r="F302" t="s">
        <v>4221</v>
      </c>
      <c r="G302" t="s">
        <v>74</v>
      </c>
      <c r="H302" t="s">
        <v>74</v>
      </c>
      <c r="I302" t="s">
        <v>4222</v>
      </c>
      <c r="J302" t="s">
        <v>4204</v>
      </c>
      <c r="K302" t="s">
        <v>74</v>
      </c>
      <c r="L302" t="s">
        <v>74</v>
      </c>
      <c r="M302" t="s">
        <v>77</v>
      </c>
      <c r="N302" t="s">
        <v>576</v>
      </c>
      <c r="O302" t="s">
        <v>4205</v>
      </c>
      <c r="P302" t="s">
        <v>4206</v>
      </c>
      <c r="Q302" t="s">
        <v>4207</v>
      </c>
      <c r="R302" t="s">
        <v>74</v>
      </c>
      <c r="S302" t="s">
        <v>74</v>
      </c>
      <c r="T302" t="s">
        <v>74</v>
      </c>
      <c r="U302" t="s">
        <v>4223</v>
      </c>
      <c r="V302" t="s">
        <v>4224</v>
      </c>
      <c r="W302" t="s">
        <v>4225</v>
      </c>
      <c r="X302" t="s">
        <v>4226</v>
      </c>
      <c r="Y302" t="s">
        <v>4227</v>
      </c>
      <c r="Z302" t="s">
        <v>4228</v>
      </c>
      <c r="AA302" t="s">
        <v>4229</v>
      </c>
      <c r="AB302" t="s">
        <v>4230</v>
      </c>
      <c r="AC302" t="s">
        <v>74</v>
      </c>
      <c r="AD302" t="s">
        <v>74</v>
      </c>
      <c r="AE302" t="s">
        <v>74</v>
      </c>
      <c r="AF302" t="s">
        <v>74</v>
      </c>
      <c r="AG302">
        <v>26</v>
      </c>
      <c r="AH302">
        <v>3</v>
      </c>
      <c r="AI302">
        <v>4</v>
      </c>
      <c r="AJ302">
        <v>0</v>
      </c>
      <c r="AK302">
        <v>2</v>
      </c>
      <c r="AL302" t="s">
        <v>108</v>
      </c>
      <c r="AM302" t="s">
        <v>160</v>
      </c>
      <c r="AN302" t="s">
        <v>965</v>
      </c>
      <c r="AO302" t="s">
        <v>4216</v>
      </c>
      <c r="AP302" t="s">
        <v>4231</v>
      </c>
      <c r="AQ302" t="s">
        <v>74</v>
      </c>
      <c r="AR302" t="s">
        <v>4204</v>
      </c>
      <c r="AS302" t="s">
        <v>4217</v>
      </c>
      <c r="AT302" t="s">
        <v>74</v>
      </c>
      <c r="AU302">
        <v>2001</v>
      </c>
      <c r="AV302">
        <v>43</v>
      </c>
      <c r="AW302" t="s">
        <v>4232</v>
      </c>
      <c r="AX302">
        <v>2</v>
      </c>
      <c r="AY302" t="s">
        <v>74</v>
      </c>
      <c r="AZ302" t="s">
        <v>74</v>
      </c>
      <c r="BA302" t="s">
        <v>74</v>
      </c>
      <c r="BB302">
        <v>751</v>
      </c>
      <c r="BC302">
        <v>757</v>
      </c>
      <c r="BD302" t="s">
        <v>74</v>
      </c>
      <c r="BE302" t="s">
        <v>74</v>
      </c>
      <c r="BF302" t="s">
        <v>74</v>
      </c>
      <c r="BG302" t="s">
        <v>74</v>
      </c>
      <c r="BH302" t="s">
        <v>74</v>
      </c>
      <c r="BI302">
        <v>7</v>
      </c>
      <c r="BJ302" t="s">
        <v>953</v>
      </c>
      <c r="BK302" t="s">
        <v>2763</v>
      </c>
      <c r="BL302" t="s">
        <v>953</v>
      </c>
      <c r="BM302" t="s">
        <v>4233</v>
      </c>
      <c r="BN302" t="s">
        <v>74</v>
      </c>
      <c r="BO302" t="s">
        <v>74</v>
      </c>
      <c r="BP302" t="s">
        <v>74</v>
      </c>
      <c r="BQ302" t="s">
        <v>74</v>
      </c>
      <c r="BR302" t="s">
        <v>97</v>
      </c>
      <c r="BS302" t="s">
        <v>4234</v>
      </c>
      <c r="BT302" t="str">
        <f>HYPERLINK("https%3A%2F%2Fwww.webofscience.com%2Fwos%2Fwoscc%2Ffull-record%2FWOS:000174513200026","View Full Record in Web of Science")</f>
        <v>View Full Record in Web of Science</v>
      </c>
    </row>
    <row r="303" spans="1:72" x14ac:dyDescent="0.15">
      <c r="A303" t="s">
        <v>72</v>
      </c>
      <c r="B303" t="s">
        <v>4235</v>
      </c>
      <c r="C303" t="s">
        <v>74</v>
      </c>
      <c r="D303" t="s">
        <v>74</v>
      </c>
      <c r="E303" t="s">
        <v>74</v>
      </c>
      <c r="F303" t="s">
        <v>4235</v>
      </c>
      <c r="G303" t="s">
        <v>74</v>
      </c>
      <c r="H303" t="s">
        <v>74</v>
      </c>
      <c r="I303" t="s">
        <v>4236</v>
      </c>
      <c r="J303" t="s">
        <v>4237</v>
      </c>
      <c r="K303" t="s">
        <v>74</v>
      </c>
      <c r="L303" t="s">
        <v>74</v>
      </c>
      <c r="M303" t="s">
        <v>77</v>
      </c>
      <c r="N303" t="s">
        <v>576</v>
      </c>
      <c r="O303" t="s">
        <v>4238</v>
      </c>
      <c r="P303" t="s">
        <v>4239</v>
      </c>
      <c r="Q303" t="s">
        <v>4240</v>
      </c>
      <c r="R303" t="s">
        <v>74</v>
      </c>
      <c r="S303" t="s">
        <v>4241</v>
      </c>
      <c r="T303" t="s">
        <v>74</v>
      </c>
      <c r="U303" t="s">
        <v>4242</v>
      </c>
      <c r="V303" t="s">
        <v>4243</v>
      </c>
      <c r="W303" t="s">
        <v>4244</v>
      </c>
      <c r="X303" t="s">
        <v>4245</v>
      </c>
      <c r="Y303" t="s">
        <v>4246</v>
      </c>
      <c r="Z303" t="s">
        <v>74</v>
      </c>
      <c r="AA303" t="s">
        <v>4247</v>
      </c>
      <c r="AB303" t="s">
        <v>4248</v>
      </c>
      <c r="AC303" t="s">
        <v>74</v>
      </c>
      <c r="AD303" t="s">
        <v>74</v>
      </c>
      <c r="AE303" t="s">
        <v>74</v>
      </c>
      <c r="AF303" t="s">
        <v>74</v>
      </c>
      <c r="AG303">
        <v>13</v>
      </c>
      <c r="AH303">
        <v>77</v>
      </c>
      <c r="AI303">
        <v>81</v>
      </c>
      <c r="AJ303">
        <v>0</v>
      </c>
      <c r="AK303">
        <v>4</v>
      </c>
      <c r="AL303" t="s">
        <v>4249</v>
      </c>
      <c r="AM303" t="s">
        <v>4250</v>
      </c>
      <c r="AN303" t="s">
        <v>4251</v>
      </c>
      <c r="AO303" t="s">
        <v>4252</v>
      </c>
      <c r="AP303" t="s">
        <v>74</v>
      </c>
      <c r="AQ303" t="s">
        <v>74</v>
      </c>
      <c r="AR303" t="s">
        <v>4253</v>
      </c>
      <c r="AS303" t="s">
        <v>4254</v>
      </c>
      <c r="AT303" t="s">
        <v>74</v>
      </c>
      <c r="AU303">
        <v>2001</v>
      </c>
      <c r="AV303">
        <v>15</v>
      </c>
      <c r="AW303">
        <v>15</v>
      </c>
      <c r="AX303" t="s">
        <v>74</v>
      </c>
      <c r="AY303" t="s">
        <v>74</v>
      </c>
      <c r="AZ303" t="s">
        <v>74</v>
      </c>
      <c r="BA303" t="s">
        <v>74</v>
      </c>
      <c r="BB303">
        <v>1297</v>
      </c>
      <c r="BC303">
        <v>1303</v>
      </c>
      <c r="BD303" t="s">
        <v>74</v>
      </c>
      <c r="BE303" t="s">
        <v>4255</v>
      </c>
      <c r="BF303" t="str">
        <f>HYPERLINK("http://dx.doi.org/10.1002/rcm.361","http://dx.doi.org/10.1002/rcm.361")</f>
        <v>http://dx.doi.org/10.1002/rcm.361</v>
      </c>
      <c r="BG303" t="s">
        <v>74</v>
      </c>
      <c r="BH303" t="s">
        <v>74</v>
      </c>
      <c r="BI303">
        <v>7</v>
      </c>
      <c r="BJ303" t="s">
        <v>4256</v>
      </c>
      <c r="BK303" t="s">
        <v>596</v>
      </c>
      <c r="BL303" t="s">
        <v>4257</v>
      </c>
      <c r="BM303" t="s">
        <v>4258</v>
      </c>
      <c r="BN303">
        <v>11466788</v>
      </c>
      <c r="BO303" t="s">
        <v>74</v>
      </c>
      <c r="BP303" t="s">
        <v>74</v>
      </c>
      <c r="BQ303" t="s">
        <v>74</v>
      </c>
      <c r="BR303" t="s">
        <v>97</v>
      </c>
      <c r="BS303" t="s">
        <v>4259</v>
      </c>
      <c r="BT303" t="str">
        <f>HYPERLINK("https%3A%2F%2Fwww.webofscience.com%2Fwos%2Fwoscc%2Ffull-record%2FWOS:000170219300010","View Full Record in Web of Science")</f>
        <v>View Full Record in Web of Science</v>
      </c>
    </row>
    <row r="304" spans="1:72" x14ac:dyDescent="0.15">
      <c r="A304" t="s">
        <v>209</v>
      </c>
      <c r="B304" t="s">
        <v>4260</v>
      </c>
      <c r="C304" t="s">
        <v>74</v>
      </c>
      <c r="D304" t="s">
        <v>4261</v>
      </c>
      <c r="E304" t="s">
        <v>74</v>
      </c>
      <c r="F304" t="s">
        <v>4260</v>
      </c>
      <c r="G304" t="s">
        <v>74</v>
      </c>
      <c r="H304" t="s">
        <v>74</v>
      </c>
      <c r="I304" t="s">
        <v>4262</v>
      </c>
      <c r="J304" t="s">
        <v>4263</v>
      </c>
      <c r="K304" t="s">
        <v>3616</v>
      </c>
      <c r="L304" t="s">
        <v>74</v>
      </c>
      <c r="M304" t="s">
        <v>77</v>
      </c>
      <c r="N304" t="s">
        <v>214</v>
      </c>
      <c r="O304" t="s">
        <v>4264</v>
      </c>
      <c r="P304" t="s">
        <v>4265</v>
      </c>
      <c r="Q304" t="s">
        <v>4266</v>
      </c>
      <c r="R304" t="s">
        <v>74</v>
      </c>
      <c r="S304" t="s">
        <v>74</v>
      </c>
      <c r="T304" t="s">
        <v>4267</v>
      </c>
      <c r="U304" t="s">
        <v>4268</v>
      </c>
      <c r="V304" t="s">
        <v>4269</v>
      </c>
      <c r="W304" t="s">
        <v>4270</v>
      </c>
      <c r="X304" t="s">
        <v>4271</v>
      </c>
      <c r="Y304" t="s">
        <v>4272</v>
      </c>
      <c r="Z304" t="s">
        <v>74</v>
      </c>
      <c r="AA304" t="s">
        <v>74</v>
      </c>
      <c r="AB304" t="s">
        <v>4273</v>
      </c>
      <c r="AC304" t="s">
        <v>74</v>
      </c>
      <c r="AD304" t="s">
        <v>74</v>
      </c>
      <c r="AE304" t="s">
        <v>74</v>
      </c>
      <c r="AF304" t="s">
        <v>74</v>
      </c>
      <c r="AG304">
        <v>3</v>
      </c>
      <c r="AH304">
        <v>0</v>
      </c>
      <c r="AI304">
        <v>0</v>
      </c>
      <c r="AJ304">
        <v>0</v>
      </c>
      <c r="AK304">
        <v>1</v>
      </c>
      <c r="AL304" t="s">
        <v>3626</v>
      </c>
      <c r="AM304" t="s">
        <v>3627</v>
      </c>
      <c r="AN304" t="s">
        <v>3628</v>
      </c>
      <c r="AO304" t="s">
        <v>3629</v>
      </c>
      <c r="AP304" t="s">
        <v>74</v>
      </c>
      <c r="AQ304" t="s">
        <v>4274</v>
      </c>
      <c r="AR304" t="s">
        <v>3631</v>
      </c>
      <c r="AS304" t="s">
        <v>74</v>
      </c>
      <c r="AT304" t="s">
        <v>74</v>
      </c>
      <c r="AU304">
        <v>2001</v>
      </c>
      <c r="AV304">
        <v>4303</v>
      </c>
      <c r="AW304" t="s">
        <v>74</v>
      </c>
      <c r="AX304" t="s">
        <v>74</v>
      </c>
      <c r="AY304" t="s">
        <v>74</v>
      </c>
      <c r="AZ304" t="s">
        <v>74</v>
      </c>
      <c r="BA304" t="s">
        <v>74</v>
      </c>
      <c r="BB304">
        <v>138</v>
      </c>
      <c r="BC304">
        <v>147</v>
      </c>
      <c r="BD304" t="s">
        <v>74</v>
      </c>
      <c r="BE304" t="s">
        <v>4275</v>
      </c>
      <c r="BF304" t="str">
        <f>HYPERLINK("http://dx.doi.org/10.1117/12.424947","http://dx.doi.org/10.1117/12.424947")</f>
        <v>http://dx.doi.org/10.1117/12.424947</v>
      </c>
      <c r="BG304" t="s">
        <v>74</v>
      </c>
      <c r="BH304" t="s">
        <v>74</v>
      </c>
      <c r="BI304">
        <v>10</v>
      </c>
      <c r="BJ304" t="s">
        <v>4276</v>
      </c>
      <c r="BK304" t="s">
        <v>229</v>
      </c>
      <c r="BL304" t="s">
        <v>4276</v>
      </c>
      <c r="BM304" t="s">
        <v>4277</v>
      </c>
      <c r="BN304" t="s">
        <v>74</v>
      </c>
      <c r="BO304" t="s">
        <v>74</v>
      </c>
      <c r="BP304" t="s">
        <v>74</v>
      </c>
      <c r="BQ304" t="s">
        <v>74</v>
      </c>
      <c r="BR304" t="s">
        <v>97</v>
      </c>
      <c r="BS304" t="s">
        <v>4278</v>
      </c>
      <c r="BT304" t="str">
        <f>HYPERLINK("https%3A%2F%2Fwww.webofscience.com%2Fwos%2Fwoscc%2Ffull-record%2FWOS:000171334400016","View Full Record in Web of Science")</f>
        <v>View Full Record in Web of Science</v>
      </c>
    </row>
    <row r="305" spans="1:72" x14ac:dyDescent="0.15">
      <c r="A305" t="s">
        <v>72</v>
      </c>
      <c r="B305" t="s">
        <v>4279</v>
      </c>
      <c r="C305" t="s">
        <v>74</v>
      </c>
      <c r="D305" t="s">
        <v>74</v>
      </c>
      <c r="E305" t="s">
        <v>74</v>
      </c>
      <c r="F305" t="s">
        <v>4279</v>
      </c>
      <c r="G305" t="s">
        <v>74</v>
      </c>
      <c r="H305" t="s">
        <v>74</v>
      </c>
      <c r="I305" t="s">
        <v>4280</v>
      </c>
      <c r="J305" t="s">
        <v>4281</v>
      </c>
      <c r="K305" t="s">
        <v>74</v>
      </c>
      <c r="L305" t="s">
        <v>74</v>
      </c>
      <c r="M305" t="s">
        <v>77</v>
      </c>
      <c r="N305" t="s">
        <v>78</v>
      </c>
      <c r="O305" t="s">
        <v>74</v>
      </c>
      <c r="P305" t="s">
        <v>74</v>
      </c>
      <c r="Q305" t="s">
        <v>74</v>
      </c>
      <c r="R305" t="s">
        <v>74</v>
      </c>
      <c r="S305" t="s">
        <v>74</v>
      </c>
      <c r="T305" t="s">
        <v>74</v>
      </c>
      <c r="U305" t="s">
        <v>4282</v>
      </c>
      <c r="V305" t="s">
        <v>4283</v>
      </c>
      <c r="W305" t="s">
        <v>4284</v>
      </c>
      <c r="X305" t="s">
        <v>1365</v>
      </c>
      <c r="Y305" t="s">
        <v>4285</v>
      </c>
      <c r="Z305" t="s">
        <v>74</v>
      </c>
      <c r="AA305" t="s">
        <v>74</v>
      </c>
      <c r="AB305" t="s">
        <v>74</v>
      </c>
      <c r="AC305" t="s">
        <v>74</v>
      </c>
      <c r="AD305" t="s">
        <v>74</v>
      </c>
      <c r="AE305" t="s">
        <v>74</v>
      </c>
      <c r="AF305" t="s">
        <v>74</v>
      </c>
      <c r="AG305">
        <v>15</v>
      </c>
      <c r="AH305">
        <v>10</v>
      </c>
      <c r="AI305">
        <v>10</v>
      </c>
      <c r="AJ305">
        <v>0</v>
      </c>
      <c r="AK305">
        <v>6</v>
      </c>
      <c r="AL305" t="s">
        <v>4286</v>
      </c>
      <c r="AM305" t="s">
        <v>160</v>
      </c>
      <c r="AN305" t="s">
        <v>4287</v>
      </c>
      <c r="AO305" t="s">
        <v>4288</v>
      </c>
      <c r="AP305" t="s">
        <v>74</v>
      </c>
      <c r="AQ305" t="s">
        <v>74</v>
      </c>
      <c r="AR305" t="s">
        <v>4289</v>
      </c>
      <c r="AS305" t="s">
        <v>4290</v>
      </c>
      <c r="AT305" t="s">
        <v>91</v>
      </c>
      <c r="AU305">
        <v>2001</v>
      </c>
      <c r="AV305">
        <v>75</v>
      </c>
      <c r="AW305">
        <v>1</v>
      </c>
      <c r="AX305" t="s">
        <v>74</v>
      </c>
      <c r="AY305" t="s">
        <v>74</v>
      </c>
      <c r="AZ305" t="s">
        <v>74</v>
      </c>
      <c r="BA305" t="s">
        <v>74</v>
      </c>
      <c r="BB305">
        <v>63</v>
      </c>
      <c r="BC305">
        <v>75</v>
      </c>
      <c r="BD305" t="s">
        <v>74</v>
      </c>
      <c r="BE305" t="s">
        <v>4291</v>
      </c>
      <c r="BF305" t="str">
        <f>HYPERLINK("http://dx.doi.org/10.1016/S0034-4257(00)00156-5","http://dx.doi.org/10.1016/S0034-4257(00)00156-5")</f>
        <v>http://dx.doi.org/10.1016/S0034-4257(00)00156-5</v>
      </c>
      <c r="BG305" t="s">
        <v>74</v>
      </c>
      <c r="BH305" t="s">
        <v>74</v>
      </c>
      <c r="BI305">
        <v>13</v>
      </c>
      <c r="BJ305" t="s">
        <v>4292</v>
      </c>
      <c r="BK305" t="s">
        <v>94</v>
      </c>
      <c r="BL305" t="s">
        <v>4293</v>
      </c>
      <c r="BM305" t="s">
        <v>4294</v>
      </c>
      <c r="BN305" t="s">
        <v>74</v>
      </c>
      <c r="BO305" t="s">
        <v>74</v>
      </c>
      <c r="BP305" t="s">
        <v>74</v>
      </c>
      <c r="BQ305" t="s">
        <v>74</v>
      </c>
      <c r="BR305" t="s">
        <v>97</v>
      </c>
      <c r="BS305" t="s">
        <v>4295</v>
      </c>
      <c r="BT305" t="str">
        <f>HYPERLINK("https%3A%2F%2Fwww.webofscience.com%2Fwos%2Fwoscc%2Ffull-record%2FWOS:000166142000006","View Full Record in Web of Science")</f>
        <v>View Full Record in Web of Science</v>
      </c>
    </row>
    <row r="306" spans="1:72" x14ac:dyDescent="0.15">
      <c r="A306" t="s">
        <v>72</v>
      </c>
      <c r="B306" t="s">
        <v>4296</v>
      </c>
      <c r="C306" t="s">
        <v>74</v>
      </c>
      <c r="D306" t="s">
        <v>74</v>
      </c>
      <c r="E306" t="s">
        <v>74</v>
      </c>
      <c r="F306" t="s">
        <v>4296</v>
      </c>
      <c r="G306" t="s">
        <v>74</v>
      </c>
      <c r="H306" t="s">
        <v>74</v>
      </c>
      <c r="I306" t="s">
        <v>4297</v>
      </c>
      <c r="J306" t="s">
        <v>4298</v>
      </c>
      <c r="K306" t="s">
        <v>74</v>
      </c>
      <c r="L306" t="s">
        <v>74</v>
      </c>
      <c r="M306" t="s">
        <v>77</v>
      </c>
      <c r="N306" t="s">
        <v>236</v>
      </c>
      <c r="O306" t="s">
        <v>74</v>
      </c>
      <c r="P306" t="s">
        <v>74</v>
      </c>
      <c r="Q306" t="s">
        <v>74</v>
      </c>
      <c r="R306" t="s">
        <v>74</v>
      </c>
      <c r="S306" t="s">
        <v>74</v>
      </c>
      <c r="T306" t="s">
        <v>4299</v>
      </c>
      <c r="U306" t="s">
        <v>4300</v>
      </c>
      <c r="V306" t="s">
        <v>4301</v>
      </c>
      <c r="W306" t="s">
        <v>4302</v>
      </c>
      <c r="X306" t="s">
        <v>74</v>
      </c>
      <c r="Y306" t="s">
        <v>4303</v>
      </c>
      <c r="Z306" t="s">
        <v>74</v>
      </c>
      <c r="AA306" t="s">
        <v>74</v>
      </c>
      <c r="AB306" t="s">
        <v>74</v>
      </c>
      <c r="AC306" t="s">
        <v>74</v>
      </c>
      <c r="AD306" t="s">
        <v>74</v>
      </c>
      <c r="AE306" t="s">
        <v>74</v>
      </c>
      <c r="AF306" t="s">
        <v>74</v>
      </c>
      <c r="AG306">
        <v>194</v>
      </c>
      <c r="AH306">
        <v>34</v>
      </c>
      <c r="AI306">
        <v>38</v>
      </c>
      <c r="AJ306">
        <v>4</v>
      </c>
      <c r="AK306">
        <v>37</v>
      </c>
      <c r="AL306" t="s">
        <v>737</v>
      </c>
      <c r="AM306" t="s">
        <v>738</v>
      </c>
      <c r="AN306" t="s">
        <v>1253</v>
      </c>
      <c r="AO306" t="s">
        <v>4304</v>
      </c>
      <c r="AP306" t="s">
        <v>74</v>
      </c>
      <c r="AQ306" t="s">
        <v>74</v>
      </c>
      <c r="AR306" t="s">
        <v>4305</v>
      </c>
      <c r="AS306" t="s">
        <v>4306</v>
      </c>
      <c r="AT306" t="s">
        <v>74</v>
      </c>
      <c r="AU306">
        <v>2001</v>
      </c>
      <c r="AV306">
        <v>11</v>
      </c>
      <c r="AW306">
        <v>1</v>
      </c>
      <c r="AX306" t="s">
        <v>74</v>
      </c>
      <c r="AY306" t="s">
        <v>74</v>
      </c>
      <c r="AZ306" t="s">
        <v>74</v>
      </c>
      <c r="BA306" t="s">
        <v>74</v>
      </c>
      <c r="BB306">
        <v>31</v>
      </c>
      <c r="BC306">
        <v>56</v>
      </c>
      <c r="BD306" t="s">
        <v>74</v>
      </c>
      <c r="BE306" t="s">
        <v>4307</v>
      </c>
      <c r="BF306" t="str">
        <f>HYPERLINK("http://dx.doi.org/10.1023/A:1014207719529","http://dx.doi.org/10.1023/A:1014207719529")</f>
        <v>http://dx.doi.org/10.1023/A:1014207719529</v>
      </c>
      <c r="BG306" t="s">
        <v>74</v>
      </c>
      <c r="BH306" t="s">
        <v>74</v>
      </c>
      <c r="BI306">
        <v>26</v>
      </c>
      <c r="BJ306" t="s">
        <v>4308</v>
      </c>
      <c r="BK306" t="s">
        <v>94</v>
      </c>
      <c r="BL306" t="s">
        <v>4308</v>
      </c>
      <c r="BM306" t="s">
        <v>4309</v>
      </c>
      <c r="BN306" t="s">
        <v>74</v>
      </c>
      <c r="BO306" t="s">
        <v>74</v>
      </c>
      <c r="BP306" t="s">
        <v>74</v>
      </c>
      <c r="BQ306" t="s">
        <v>74</v>
      </c>
      <c r="BR306" t="s">
        <v>97</v>
      </c>
      <c r="BS306" t="s">
        <v>4310</v>
      </c>
      <c r="BT306" t="str">
        <f>HYPERLINK("https%3A%2F%2Fwww.webofscience.com%2Fwos%2Fwoscc%2Ffull-record%2FWOS:000173992300002","View Full Record in Web of Science")</f>
        <v>View Full Record in Web of Science</v>
      </c>
    </row>
    <row r="307" spans="1:72" x14ac:dyDescent="0.15">
      <c r="A307" t="s">
        <v>1106</v>
      </c>
      <c r="B307" t="s">
        <v>4311</v>
      </c>
      <c r="C307" t="s">
        <v>74</v>
      </c>
      <c r="D307" t="s">
        <v>4312</v>
      </c>
      <c r="E307" t="s">
        <v>74</v>
      </c>
      <c r="F307" t="s">
        <v>4311</v>
      </c>
      <c r="G307" t="s">
        <v>74</v>
      </c>
      <c r="H307" t="s">
        <v>74</v>
      </c>
      <c r="I307" t="s">
        <v>4313</v>
      </c>
      <c r="J307" t="s">
        <v>4314</v>
      </c>
      <c r="K307" t="s">
        <v>4315</v>
      </c>
      <c r="L307" t="s">
        <v>74</v>
      </c>
      <c r="M307" t="s">
        <v>77</v>
      </c>
      <c r="N307" t="s">
        <v>236</v>
      </c>
      <c r="O307" t="s">
        <v>74</v>
      </c>
      <c r="P307" t="s">
        <v>74</v>
      </c>
      <c r="Q307" t="s">
        <v>74</v>
      </c>
      <c r="R307" t="s">
        <v>74</v>
      </c>
      <c r="S307" t="s">
        <v>74</v>
      </c>
      <c r="T307" t="s">
        <v>74</v>
      </c>
      <c r="U307" t="s">
        <v>4316</v>
      </c>
      <c r="V307" t="s">
        <v>74</v>
      </c>
      <c r="W307" t="s">
        <v>4317</v>
      </c>
      <c r="X307" t="s">
        <v>3733</v>
      </c>
      <c r="Y307" t="s">
        <v>4318</v>
      </c>
      <c r="Z307" t="s">
        <v>74</v>
      </c>
      <c r="AA307" t="s">
        <v>74</v>
      </c>
      <c r="AB307" t="s">
        <v>74</v>
      </c>
      <c r="AC307" t="s">
        <v>74</v>
      </c>
      <c r="AD307" t="s">
        <v>74</v>
      </c>
      <c r="AE307" t="s">
        <v>74</v>
      </c>
      <c r="AF307" t="s">
        <v>74</v>
      </c>
      <c r="AG307">
        <v>231</v>
      </c>
      <c r="AH307">
        <v>22</v>
      </c>
      <c r="AI307">
        <v>24</v>
      </c>
      <c r="AJ307">
        <v>1</v>
      </c>
      <c r="AK307">
        <v>9</v>
      </c>
      <c r="AL307" t="s">
        <v>906</v>
      </c>
      <c r="AM307" t="s">
        <v>160</v>
      </c>
      <c r="AN307" t="s">
        <v>4319</v>
      </c>
      <c r="AO307" t="s">
        <v>4320</v>
      </c>
      <c r="AP307" t="s">
        <v>4321</v>
      </c>
      <c r="AQ307" t="s">
        <v>4322</v>
      </c>
      <c r="AR307" t="s">
        <v>4323</v>
      </c>
      <c r="AS307" t="s">
        <v>4324</v>
      </c>
      <c r="AT307" t="s">
        <v>74</v>
      </c>
      <c r="AU307">
        <v>2001</v>
      </c>
      <c r="AV307">
        <v>171</v>
      </c>
      <c r="AW307" t="s">
        <v>74</v>
      </c>
      <c r="AX307" t="s">
        <v>74</v>
      </c>
      <c r="AY307" t="s">
        <v>74</v>
      </c>
      <c r="AZ307" t="s">
        <v>74</v>
      </c>
      <c r="BA307" t="s">
        <v>74</v>
      </c>
      <c r="BB307">
        <v>53</v>
      </c>
      <c r="BC307">
        <v>110</v>
      </c>
      <c r="BD307" t="s">
        <v>74</v>
      </c>
      <c r="BE307" t="s">
        <v>74</v>
      </c>
      <c r="BF307" t="s">
        <v>74</v>
      </c>
      <c r="BG307" t="s">
        <v>74</v>
      </c>
      <c r="BH307" t="s">
        <v>74</v>
      </c>
      <c r="BI307">
        <v>58</v>
      </c>
      <c r="BJ307" t="s">
        <v>4325</v>
      </c>
      <c r="BK307" t="s">
        <v>94</v>
      </c>
      <c r="BL307" t="s">
        <v>4326</v>
      </c>
      <c r="BM307" t="s">
        <v>4327</v>
      </c>
      <c r="BN307" t="s">
        <v>74</v>
      </c>
      <c r="BO307" t="s">
        <v>74</v>
      </c>
      <c r="BP307" t="s">
        <v>74</v>
      </c>
      <c r="BQ307" t="s">
        <v>74</v>
      </c>
      <c r="BR307" t="s">
        <v>97</v>
      </c>
      <c r="BS307" t="s">
        <v>4328</v>
      </c>
      <c r="BT307" t="str">
        <f>HYPERLINK("https%3A%2F%2Fwww.webofscience.com%2Fwos%2Fwoscc%2Ffull-record%2FWOS:000171629700002","View Full Record in Web of Science")</f>
        <v>View Full Record in Web of Science</v>
      </c>
    </row>
    <row r="308" spans="1:72" x14ac:dyDescent="0.15">
      <c r="A308" t="s">
        <v>72</v>
      </c>
      <c r="B308" t="s">
        <v>4329</v>
      </c>
      <c r="C308" t="s">
        <v>74</v>
      </c>
      <c r="D308" t="s">
        <v>74</v>
      </c>
      <c r="E308" t="s">
        <v>74</v>
      </c>
      <c r="F308" t="s">
        <v>4329</v>
      </c>
      <c r="G308" t="s">
        <v>74</v>
      </c>
      <c r="H308" t="s">
        <v>74</v>
      </c>
      <c r="I308" t="s">
        <v>4330</v>
      </c>
      <c r="J308" t="s">
        <v>4331</v>
      </c>
      <c r="K308" t="s">
        <v>74</v>
      </c>
      <c r="L308" t="s">
        <v>74</v>
      </c>
      <c r="M308" t="s">
        <v>77</v>
      </c>
      <c r="N308" t="s">
        <v>78</v>
      </c>
      <c r="O308" t="s">
        <v>74</v>
      </c>
      <c r="P308" t="s">
        <v>74</v>
      </c>
      <c r="Q308" t="s">
        <v>74</v>
      </c>
      <c r="R308" t="s">
        <v>74</v>
      </c>
      <c r="S308" t="s">
        <v>74</v>
      </c>
      <c r="T308" t="s">
        <v>74</v>
      </c>
      <c r="U308" t="s">
        <v>4332</v>
      </c>
      <c r="V308" t="s">
        <v>4333</v>
      </c>
      <c r="W308" t="s">
        <v>4334</v>
      </c>
      <c r="X308" t="s">
        <v>74</v>
      </c>
      <c r="Y308" t="s">
        <v>4335</v>
      </c>
      <c r="Z308" t="s">
        <v>74</v>
      </c>
      <c r="AA308" t="s">
        <v>4336</v>
      </c>
      <c r="AB308" t="s">
        <v>74</v>
      </c>
      <c r="AC308" t="s">
        <v>74</v>
      </c>
      <c r="AD308" t="s">
        <v>74</v>
      </c>
      <c r="AE308" t="s">
        <v>74</v>
      </c>
      <c r="AF308" t="s">
        <v>74</v>
      </c>
      <c r="AG308">
        <v>22</v>
      </c>
      <c r="AH308">
        <v>4</v>
      </c>
      <c r="AI308">
        <v>5</v>
      </c>
      <c r="AJ308">
        <v>0</v>
      </c>
      <c r="AK308">
        <v>0</v>
      </c>
      <c r="AL308" t="s">
        <v>4337</v>
      </c>
      <c r="AM308" t="s">
        <v>566</v>
      </c>
      <c r="AN308" t="s">
        <v>4338</v>
      </c>
      <c r="AO308" t="s">
        <v>4339</v>
      </c>
      <c r="AP308" t="s">
        <v>74</v>
      </c>
      <c r="AQ308" t="s">
        <v>74</v>
      </c>
      <c r="AR308" t="s">
        <v>4340</v>
      </c>
      <c r="AS308" t="s">
        <v>4341</v>
      </c>
      <c r="AT308" t="s">
        <v>74</v>
      </c>
      <c r="AU308">
        <v>2001</v>
      </c>
      <c r="AV308">
        <v>16</v>
      </c>
      <c r="AW308">
        <v>4</v>
      </c>
      <c r="AX308" t="s">
        <v>74</v>
      </c>
      <c r="AY308" t="s">
        <v>74</v>
      </c>
      <c r="AZ308" t="s">
        <v>74</v>
      </c>
      <c r="BA308" t="s">
        <v>74</v>
      </c>
      <c r="BB308">
        <v>315</v>
      </c>
      <c r="BC308">
        <v>330</v>
      </c>
      <c r="BD308" t="s">
        <v>74</v>
      </c>
      <c r="BE308" t="s">
        <v>74</v>
      </c>
      <c r="BF308" t="s">
        <v>74</v>
      </c>
      <c r="BG308" t="s">
        <v>74</v>
      </c>
      <c r="BH308" t="s">
        <v>74</v>
      </c>
      <c r="BI308">
        <v>16</v>
      </c>
      <c r="BJ308" t="s">
        <v>4342</v>
      </c>
      <c r="BK308" t="s">
        <v>94</v>
      </c>
      <c r="BL308" t="s">
        <v>4343</v>
      </c>
      <c r="BM308" t="s">
        <v>4344</v>
      </c>
      <c r="BN308" t="s">
        <v>74</v>
      </c>
      <c r="BO308" t="s">
        <v>74</v>
      </c>
      <c r="BP308" t="s">
        <v>74</v>
      </c>
      <c r="BQ308" t="s">
        <v>74</v>
      </c>
      <c r="BR308" t="s">
        <v>97</v>
      </c>
      <c r="BS308" t="s">
        <v>4345</v>
      </c>
      <c r="BT308" t="str">
        <f>HYPERLINK("https%3A%2F%2Fwww.webofscience.com%2Fwos%2Fwoscc%2Ffull-record%2FWOS:000170757600005","View Full Record in Web of Science")</f>
        <v>View Full Record in Web of Science</v>
      </c>
    </row>
    <row r="309" spans="1:72" x14ac:dyDescent="0.15">
      <c r="A309" t="s">
        <v>209</v>
      </c>
      <c r="B309" t="s">
        <v>4346</v>
      </c>
      <c r="C309" t="s">
        <v>74</v>
      </c>
      <c r="D309" t="s">
        <v>4347</v>
      </c>
      <c r="E309" t="s">
        <v>74</v>
      </c>
      <c r="F309" t="s">
        <v>4346</v>
      </c>
      <c r="G309" t="s">
        <v>74</v>
      </c>
      <c r="H309" t="s">
        <v>74</v>
      </c>
      <c r="I309" t="s">
        <v>4348</v>
      </c>
      <c r="J309" t="s">
        <v>4349</v>
      </c>
      <c r="K309" t="s">
        <v>4350</v>
      </c>
      <c r="L309" t="s">
        <v>74</v>
      </c>
      <c r="M309" t="s">
        <v>77</v>
      </c>
      <c r="N309" t="s">
        <v>214</v>
      </c>
      <c r="O309" t="s">
        <v>4351</v>
      </c>
      <c r="P309" t="s">
        <v>4352</v>
      </c>
      <c r="Q309" t="s">
        <v>4353</v>
      </c>
      <c r="R309" t="s">
        <v>74</v>
      </c>
      <c r="S309" t="s">
        <v>74</v>
      </c>
      <c r="T309" t="s">
        <v>74</v>
      </c>
      <c r="U309" t="s">
        <v>4354</v>
      </c>
      <c r="V309" t="s">
        <v>4355</v>
      </c>
      <c r="W309" t="s">
        <v>4356</v>
      </c>
      <c r="X309" t="s">
        <v>694</v>
      </c>
      <c r="Y309" t="s">
        <v>74</v>
      </c>
      <c r="Z309" t="s">
        <v>74</v>
      </c>
      <c r="AA309" t="s">
        <v>4357</v>
      </c>
      <c r="AB309" t="s">
        <v>4358</v>
      </c>
      <c r="AC309" t="s">
        <v>74</v>
      </c>
      <c r="AD309" t="s">
        <v>74</v>
      </c>
      <c r="AE309" t="s">
        <v>74</v>
      </c>
      <c r="AF309" t="s">
        <v>74</v>
      </c>
      <c r="AG309">
        <v>57</v>
      </c>
      <c r="AH309">
        <v>3</v>
      </c>
      <c r="AI309">
        <v>3</v>
      </c>
      <c r="AJ309">
        <v>1</v>
      </c>
      <c r="AK309">
        <v>13</v>
      </c>
      <c r="AL309" t="s">
        <v>4359</v>
      </c>
      <c r="AM309" t="s">
        <v>4360</v>
      </c>
      <c r="AN309" t="s">
        <v>4361</v>
      </c>
      <c r="AO309" t="s">
        <v>74</v>
      </c>
      <c r="AP309" t="s">
        <v>74</v>
      </c>
      <c r="AQ309" t="s">
        <v>74</v>
      </c>
      <c r="AR309" t="s">
        <v>4362</v>
      </c>
      <c r="AS309" t="s">
        <v>74</v>
      </c>
      <c r="AT309" t="s">
        <v>74</v>
      </c>
      <c r="AU309">
        <v>2001</v>
      </c>
      <c r="AV309" t="s">
        <v>74</v>
      </c>
      <c r="AW309">
        <v>27</v>
      </c>
      <c r="AX309" t="s">
        <v>74</v>
      </c>
      <c r="AY309" t="s">
        <v>74</v>
      </c>
      <c r="AZ309" t="s">
        <v>74</v>
      </c>
      <c r="BA309" t="s">
        <v>74</v>
      </c>
      <c r="BB309">
        <v>204</v>
      </c>
      <c r="BC309">
        <v>210</v>
      </c>
      <c r="BD309" t="s">
        <v>74</v>
      </c>
      <c r="BE309" t="s">
        <v>74</v>
      </c>
      <c r="BF309" t="s">
        <v>74</v>
      </c>
      <c r="BG309" t="s">
        <v>74</v>
      </c>
      <c r="BH309" t="s">
        <v>74</v>
      </c>
      <c r="BI309">
        <v>7</v>
      </c>
      <c r="BJ309" t="s">
        <v>4363</v>
      </c>
      <c r="BK309" t="s">
        <v>1371</v>
      </c>
      <c r="BL309" t="s">
        <v>1103</v>
      </c>
      <c r="BM309" t="s">
        <v>4364</v>
      </c>
      <c r="BN309" t="s">
        <v>74</v>
      </c>
      <c r="BO309" t="s">
        <v>74</v>
      </c>
      <c r="BP309" t="s">
        <v>74</v>
      </c>
      <c r="BQ309" t="s">
        <v>74</v>
      </c>
      <c r="BR309" t="s">
        <v>97</v>
      </c>
      <c r="BS309" t="s">
        <v>4365</v>
      </c>
      <c r="BT309" t="str">
        <f>HYPERLINK("https%3A%2F%2Fwww.webofscience.com%2Fwos%2Fwoscc%2Ffull-record%2FWOS:000221665300033","View Full Record in Web of Science")</f>
        <v>View Full Record in Web of Science</v>
      </c>
    </row>
    <row r="310" spans="1:72" x14ac:dyDescent="0.15">
      <c r="A310" t="s">
        <v>209</v>
      </c>
      <c r="B310" t="s">
        <v>4366</v>
      </c>
      <c r="C310" t="s">
        <v>74</v>
      </c>
      <c r="D310" t="s">
        <v>4367</v>
      </c>
      <c r="E310" t="s">
        <v>74</v>
      </c>
      <c r="F310" t="s">
        <v>4366</v>
      </c>
      <c r="G310" t="s">
        <v>74</v>
      </c>
      <c r="H310" t="s">
        <v>74</v>
      </c>
      <c r="I310" t="s">
        <v>4368</v>
      </c>
      <c r="J310" t="s">
        <v>4369</v>
      </c>
      <c r="K310" t="s">
        <v>4370</v>
      </c>
      <c r="L310" t="s">
        <v>74</v>
      </c>
      <c r="M310" t="s">
        <v>77</v>
      </c>
      <c r="N310" t="s">
        <v>214</v>
      </c>
      <c r="O310" t="s">
        <v>4371</v>
      </c>
      <c r="P310" t="s">
        <v>4372</v>
      </c>
      <c r="Q310" t="s">
        <v>4373</v>
      </c>
      <c r="R310" t="s">
        <v>74</v>
      </c>
      <c r="S310" t="s">
        <v>74</v>
      </c>
      <c r="T310" t="s">
        <v>74</v>
      </c>
      <c r="U310" t="s">
        <v>74</v>
      </c>
      <c r="V310" t="s">
        <v>4374</v>
      </c>
      <c r="W310" t="s">
        <v>4375</v>
      </c>
      <c r="X310" t="s">
        <v>667</v>
      </c>
      <c r="Y310" t="s">
        <v>4376</v>
      </c>
      <c r="Z310" t="s">
        <v>74</v>
      </c>
      <c r="AA310" t="s">
        <v>74</v>
      </c>
      <c r="AB310" t="s">
        <v>74</v>
      </c>
      <c r="AC310" t="s">
        <v>74</v>
      </c>
      <c r="AD310" t="s">
        <v>74</v>
      </c>
      <c r="AE310" t="s">
        <v>74</v>
      </c>
      <c r="AF310" t="s">
        <v>74</v>
      </c>
      <c r="AG310">
        <v>5</v>
      </c>
      <c r="AH310">
        <v>16</v>
      </c>
      <c r="AI310">
        <v>16</v>
      </c>
      <c r="AJ310">
        <v>0</v>
      </c>
      <c r="AK310">
        <v>0</v>
      </c>
      <c r="AL310" t="s">
        <v>4377</v>
      </c>
      <c r="AM310" t="s">
        <v>4378</v>
      </c>
      <c r="AN310" t="s">
        <v>4379</v>
      </c>
      <c r="AO310" t="s">
        <v>74</v>
      </c>
      <c r="AP310" t="s">
        <v>74</v>
      </c>
      <c r="AQ310" t="s">
        <v>4380</v>
      </c>
      <c r="AR310" t="s">
        <v>4381</v>
      </c>
      <c r="AS310" t="s">
        <v>74</v>
      </c>
      <c r="AT310" t="s">
        <v>74</v>
      </c>
      <c r="AU310">
        <v>2001</v>
      </c>
      <c r="AV310">
        <v>2001</v>
      </c>
      <c r="AW310">
        <v>1</v>
      </c>
      <c r="AX310" t="s">
        <v>74</v>
      </c>
      <c r="AY310" t="s">
        <v>74</v>
      </c>
      <c r="AZ310" t="s">
        <v>74</v>
      </c>
      <c r="BA310" t="s">
        <v>74</v>
      </c>
      <c r="BB310">
        <v>43</v>
      </c>
      <c r="BC310">
        <v>60</v>
      </c>
      <c r="BD310" t="s">
        <v>74</v>
      </c>
      <c r="BE310" t="s">
        <v>74</v>
      </c>
      <c r="BF310" t="s">
        <v>74</v>
      </c>
      <c r="BG310" t="s">
        <v>74</v>
      </c>
      <c r="BH310" t="s">
        <v>74</v>
      </c>
      <c r="BI310">
        <v>18</v>
      </c>
      <c r="BJ310" t="s">
        <v>206</v>
      </c>
      <c r="BK310" t="s">
        <v>229</v>
      </c>
      <c r="BL310" t="s">
        <v>206</v>
      </c>
      <c r="BM310" t="s">
        <v>4382</v>
      </c>
      <c r="BN310" t="s">
        <v>74</v>
      </c>
      <c r="BO310" t="s">
        <v>74</v>
      </c>
      <c r="BP310" t="s">
        <v>74</v>
      </c>
      <c r="BQ310" t="s">
        <v>74</v>
      </c>
      <c r="BR310" t="s">
        <v>97</v>
      </c>
      <c r="BS310" t="s">
        <v>4383</v>
      </c>
      <c r="BT310" t="str">
        <f>HYPERLINK("https%3A%2F%2Fwww.webofscience.com%2Fwos%2Fwoscc%2Ffull-record%2FWOS:000170086700005","View Full Record in Web of Science")</f>
        <v>View Full Record in Web of Science</v>
      </c>
    </row>
    <row r="311" spans="1:72" x14ac:dyDescent="0.15">
      <c r="A311" t="s">
        <v>209</v>
      </c>
      <c r="B311" t="s">
        <v>4384</v>
      </c>
      <c r="C311" t="s">
        <v>74</v>
      </c>
      <c r="D311" t="s">
        <v>4385</v>
      </c>
      <c r="E311" t="s">
        <v>74</v>
      </c>
      <c r="F311" t="s">
        <v>4384</v>
      </c>
      <c r="G311" t="s">
        <v>74</v>
      </c>
      <c r="H311" t="s">
        <v>74</v>
      </c>
      <c r="I311" t="s">
        <v>4386</v>
      </c>
      <c r="J311" t="s">
        <v>4387</v>
      </c>
      <c r="K311" t="s">
        <v>827</v>
      </c>
      <c r="L311" t="s">
        <v>74</v>
      </c>
      <c r="M311" t="s">
        <v>77</v>
      </c>
      <c r="N311" t="s">
        <v>214</v>
      </c>
      <c r="O311" t="s">
        <v>4388</v>
      </c>
      <c r="P311" t="s">
        <v>4389</v>
      </c>
      <c r="Q311" t="s">
        <v>4390</v>
      </c>
      <c r="R311" t="s">
        <v>74</v>
      </c>
      <c r="S311" t="s">
        <v>74</v>
      </c>
      <c r="T311" t="s">
        <v>4391</v>
      </c>
      <c r="U311" t="s">
        <v>74</v>
      </c>
      <c r="V311" t="s">
        <v>4392</v>
      </c>
      <c r="W311" t="s">
        <v>833</v>
      </c>
      <c r="X311" t="s">
        <v>221</v>
      </c>
      <c r="Y311" t="s">
        <v>1915</v>
      </c>
      <c r="Z311" t="s">
        <v>74</v>
      </c>
      <c r="AA311" t="s">
        <v>74</v>
      </c>
      <c r="AB311" t="s">
        <v>74</v>
      </c>
      <c r="AC311" t="s">
        <v>74</v>
      </c>
      <c r="AD311" t="s">
        <v>74</v>
      </c>
      <c r="AE311" t="s">
        <v>74</v>
      </c>
      <c r="AF311" t="s">
        <v>74</v>
      </c>
      <c r="AG311">
        <v>8</v>
      </c>
      <c r="AH311">
        <v>0</v>
      </c>
      <c r="AI311">
        <v>0</v>
      </c>
      <c r="AJ311">
        <v>0</v>
      </c>
      <c r="AK311">
        <v>0</v>
      </c>
      <c r="AL311" t="s">
        <v>836</v>
      </c>
      <c r="AM311" t="s">
        <v>837</v>
      </c>
      <c r="AN311" t="s">
        <v>838</v>
      </c>
      <c r="AO311" t="s">
        <v>839</v>
      </c>
      <c r="AP311" t="s">
        <v>74</v>
      </c>
      <c r="AQ311" t="s">
        <v>4393</v>
      </c>
      <c r="AR311" t="s">
        <v>841</v>
      </c>
      <c r="AS311" t="s">
        <v>74</v>
      </c>
      <c r="AT311" t="s">
        <v>74</v>
      </c>
      <c r="AU311">
        <v>2001</v>
      </c>
      <c r="AV311">
        <v>492</v>
      </c>
      <c r="AW311" t="s">
        <v>74</v>
      </c>
      <c r="AX311" t="s">
        <v>74</v>
      </c>
      <c r="AY311" t="s">
        <v>74</v>
      </c>
      <c r="AZ311" t="s">
        <v>74</v>
      </c>
      <c r="BA311" t="s">
        <v>74</v>
      </c>
      <c r="BB311">
        <v>117</v>
      </c>
      <c r="BC311">
        <v>119</v>
      </c>
      <c r="BD311" t="s">
        <v>74</v>
      </c>
      <c r="BE311" t="s">
        <v>74</v>
      </c>
      <c r="BF311" t="s">
        <v>74</v>
      </c>
      <c r="BG311" t="s">
        <v>74</v>
      </c>
      <c r="BH311" t="s">
        <v>74</v>
      </c>
      <c r="BI311">
        <v>3</v>
      </c>
      <c r="BJ311" t="s">
        <v>953</v>
      </c>
      <c r="BK311" t="s">
        <v>229</v>
      </c>
      <c r="BL311" t="s">
        <v>953</v>
      </c>
      <c r="BM311" t="s">
        <v>4394</v>
      </c>
      <c r="BN311" t="s">
        <v>74</v>
      </c>
      <c r="BO311" t="s">
        <v>74</v>
      </c>
      <c r="BP311" t="s">
        <v>74</v>
      </c>
      <c r="BQ311" t="s">
        <v>74</v>
      </c>
      <c r="BR311" t="s">
        <v>97</v>
      </c>
      <c r="BS311" t="s">
        <v>4395</v>
      </c>
      <c r="BT311" t="str">
        <f>HYPERLINK("https%3A%2F%2Fwww.webofscience.com%2Fwos%2Fwoscc%2Ffull-record%2FWOS:000173316000017","View Full Record in Web of Science")</f>
        <v>View Full Record in Web of Science</v>
      </c>
    </row>
    <row r="312" spans="1:72" x14ac:dyDescent="0.15">
      <c r="A312" t="s">
        <v>1106</v>
      </c>
      <c r="B312" t="s">
        <v>4396</v>
      </c>
      <c r="C312" t="s">
        <v>74</v>
      </c>
      <c r="D312" t="s">
        <v>4397</v>
      </c>
      <c r="E312" t="s">
        <v>74</v>
      </c>
      <c r="F312" t="s">
        <v>4396</v>
      </c>
      <c r="G312" t="s">
        <v>74</v>
      </c>
      <c r="H312" t="s">
        <v>74</v>
      </c>
      <c r="I312" t="s">
        <v>4398</v>
      </c>
      <c r="J312" t="s">
        <v>4399</v>
      </c>
      <c r="K312" t="s">
        <v>2700</v>
      </c>
      <c r="L312" t="s">
        <v>74</v>
      </c>
      <c r="M312" t="s">
        <v>77</v>
      </c>
      <c r="N312" t="s">
        <v>576</v>
      </c>
      <c r="O312" t="s">
        <v>4400</v>
      </c>
      <c r="P312" t="s">
        <v>3432</v>
      </c>
      <c r="Q312" t="s">
        <v>1114</v>
      </c>
      <c r="R312" t="s">
        <v>74</v>
      </c>
      <c r="S312" t="s">
        <v>74</v>
      </c>
      <c r="T312" t="s">
        <v>74</v>
      </c>
      <c r="U312" t="s">
        <v>4401</v>
      </c>
      <c r="V312" t="s">
        <v>4402</v>
      </c>
      <c r="W312" t="s">
        <v>4403</v>
      </c>
      <c r="X312" t="s">
        <v>4404</v>
      </c>
      <c r="Y312" t="s">
        <v>4405</v>
      </c>
      <c r="Z312" t="s">
        <v>4406</v>
      </c>
      <c r="AA312" t="s">
        <v>4407</v>
      </c>
      <c r="AB312" t="s">
        <v>4408</v>
      </c>
      <c r="AC312" t="s">
        <v>74</v>
      </c>
      <c r="AD312" t="s">
        <v>74</v>
      </c>
      <c r="AE312" t="s">
        <v>74</v>
      </c>
      <c r="AF312" t="s">
        <v>74</v>
      </c>
      <c r="AG312">
        <v>15</v>
      </c>
      <c r="AH312">
        <v>43</v>
      </c>
      <c r="AI312">
        <v>54</v>
      </c>
      <c r="AJ312">
        <v>0</v>
      </c>
      <c r="AK312">
        <v>15</v>
      </c>
      <c r="AL312" t="s">
        <v>1120</v>
      </c>
      <c r="AM312" t="s">
        <v>1121</v>
      </c>
      <c r="AN312" t="s">
        <v>1122</v>
      </c>
      <c r="AO312" t="s">
        <v>1123</v>
      </c>
      <c r="AP312" t="s">
        <v>74</v>
      </c>
      <c r="AQ312" t="s">
        <v>74</v>
      </c>
      <c r="AR312" t="s">
        <v>2709</v>
      </c>
      <c r="AS312" t="s">
        <v>74</v>
      </c>
      <c r="AT312" t="s">
        <v>74</v>
      </c>
      <c r="AU312">
        <v>2001</v>
      </c>
      <c r="AV312">
        <v>28</v>
      </c>
      <c r="AW312">
        <v>4</v>
      </c>
      <c r="AX312" t="s">
        <v>74</v>
      </c>
      <c r="AY312" t="s">
        <v>74</v>
      </c>
      <c r="AZ312" t="s">
        <v>74</v>
      </c>
      <c r="BA312" t="s">
        <v>74</v>
      </c>
      <c r="BB312">
        <v>701</v>
      </c>
      <c r="BC312">
        <v>706</v>
      </c>
      <c r="BD312" t="s">
        <v>74</v>
      </c>
      <c r="BE312" t="s">
        <v>4409</v>
      </c>
      <c r="BF312" t="str">
        <f>HYPERLINK("http://dx.doi.org/10.1016/S0273-1177(01)00318-0","http://dx.doi.org/10.1016/S0273-1177(01)00318-0")</f>
        <v>http://dx.doi.org/10.1016/S0273-1177(01)00318-0</v>
      </c>
      <c r="BG312" t="s">
        <v>74</v>
      </c>
      <c r="BH312" t="s">
        <v>74</v>
      </c>
      <c r="BI312">
        <v>6</v>
      </c>
      <c r="BJ312" t="s">
        <v>1126</v>
      </c>
      <c r="BK312" t="s">
        <v>596</v>
      </c>
      <c r="BL312" t="s">
        <v>1127</v>
      </c>
      <c r="BM312" t="s">
        <v>4410</v>
      </c>
      <c r="BN312">
        <v>11803975</v>
      </c>
      <c r="BO312" t="s">
        <v>74</v>
      </c>
      <c r="BP312" t="s">
        <v>74</v>
      </c>
      <c r="BQ312" t="s">
        <v>74</v>
      </c>
      <c r="BR312" t="s">
        <v>97</v>
      </c>
      <c r="BS312" t="s">
        <v>4411</v>
      </c>
      <c r="BT312" t="str">
        <f>HYPERLINK("https%3A%2F%2Fwww.webofscience.com%2Fwos%2Fwoscc%2Ffull-record%2FWOS:000173493700026","View Full Record in Web of Science")</f>
        <v>View Full Record in Web of Science</v>
      </c>
    </row>
    <row r="313" spans="1:72" x14ac:dyDescent="0.15">
      <c r="A313" t="s">
        <v>72</v>
      </c>
      <c r="B313" t="s">
        <v>4412</v>
      </c>
      <c r="C313" t="s">
        <v>74</v>
      </c>
      <c r="D313" t="s">
        <v>74</v>
      </c>
      <c r="E313" t="s">
        <v>74</v>
      </c>
      <c r="F313" t="s">
        <v>4412</v>
      </c>
      <c r="G313" t="s">
        <v>74</v>
      </c>
      <c r="H313" t="s">
        <v>74</v>
      </c>
      <c r="I313" t="s">
        <v>4413</v>
      </c>
      <c r="J313" t="s">
        <v>4414</v>
      </c>
      <c r="K313" t="s">
        <v>74</v>
      </c>
      <c r="L313" t="s">
        <v>74</v>
      </c>
      <c r="M313" t="s">
        <v>77</v>
      </c>
      <c r="N313" t="s">
        <v>236</v>
      </c>
      <c r="O313" t="s">
        <v>74</v>
      </c>
      <c r="P313" t="s">
        <v>74</v>
      </c>
      <c r="Q313" t="s">
        <v>74</v>
      </c>
      <c r="R313" t="s">
        <v>74</v>
      </c>
      <c r="S313" t="s">
        <v>74</v>
      </c>
      <c r="T313" t="s">
        <v>74</v>
      </c>
      <c r="U313" t="s">
        <v>4415</v>
      </c>
      <c r="V313" t="s">
        <v>4416</v>
      </c>
      <c r="W313" t="s">
        <v>4417</v>
      </c>
      <c r="X313" t="s">
        <v>4418</v>
      </c>
      <c r="Y313" t="s">
        <v>4419</v>
      </c>
      <c r="Z313" t="s">
        <v>74</v>
      </c>
      <c r="AA313" t="s">
        <v>4420</v>
      </c>
      <c r="AB313" t="s">
        <v>4421</v>
      </c>
      <c r="AC313" t="s">
        <v>74</v>
      </c>
      <c r="AD313" t="s">
        <v>74</v>
      </c>
      <c r="AE313" t="s">
        <v>74</v>
      </c>
      <c r="AF313" t="s">
        <v>74</v>
      </c>
      <c r="AG313">
        <v>41</v>
      </c>
      <c r="AH313">
        <v>42</v>
      </c>
      <c r="AI313">
        <v>43</v>
      </c>
      <c r="AJ313">
        <v>0</v>
      </c>
      <c r="AK313">
        <v>2</v>
      </c>
      <c r="AL313" t="s">
        <v>906</v>
      </c>
      <c r="AM313" t="s">
        <v>738</v>
      </c>
      <c r="AN313" t="s">
        <v>1253</v>
      </c>
      <c r="AO313" t="s">
        <v>4422</v>
      </c>
      <c r="AP313" t="s">
        <v>4423</v>
      </c>
      <c r="AQ313" t="s">
        <v>74</v>
      </c>
      <c r="AR313" t="s">
        <v>4424</v>
      </c>
      <c r="AS313" t="s">
        <v>4425</v>
      </c>
      <c r="AT313" t="s">
        <v>91</v>
      </c>
      <c r="AU313">
        <v>2001</v>
      </c>
      <c r="AV313">
        <v>95</v>
      </c>
      <c r="AW313" t="s">
        <v>870</v>
      </c>
      <c r="AX313" t="s">
        <v>74</v>
      </c>
      <c r="AY313" t="s">
        <v>74</v>
      </c>
      <c r="AZ313" t="s">
        <v>74</v>
      </c>
      <c r="BA313" t="s">
        <v>74</v>
      </c>
      <c r="BB313">
        <v>293</v>
      </c>
      <c r="BC313">
        <v>307</v>
      </c>
      <c r="BD313" t="s">
        <v>74</v>
      </c>
      <c r="BE313" t="s">
        <v>4426</v>
      </c>
      <c r="BF313" t="str">
        <f>HYPERLINK("http://dx.doi.org/10.1023/A:1005236717469","http://dx.doi.org/10.1023/A:1005236717469")</f>
        <v>http://dx.doi.org/10.1023/A:1005236717469</v>
      </c>
      <c r="BG313" t="s">
        <v>74</v>
      </c>
      <c r="BH313" t="s">
        <v>74</v>
      </c>
      <c r="BI313">
        <v>15</v>
      </c>
      <c r="BJ313" t="s">
        <v>909</v>
      </c>
      <c r="BK313" t="s">
        <v>94</v>
      </c>
      <c r="BL313" t="s">
        <v>909</v>
      </c>
      <c r="BM313" t="s">
        <v>4427</v>
      </c>
      <c r="BN313" t="s">
        <v>74</v>
      </c>
      <c r="BO313" t="s">
        <v>296</v>
      </c>
      <c r="BP313" t="s">
        <v>74</v>
      </c>
      <c r="BQ313" t="s">
        <v>74</v>
      </c>
      <c r="BR313" t="s">
        <v>97</v>
      </c>
      <c r="BS313" t="s">
        <v>4428</v>
      </c>
      <c r="BT313" t="str">
        <f>HYPERLINK("https%3A%2F%2Fwww.webofscience.com%2Fwos%2Fwoscc%2Ffull-record%2FWOS:000166365000022","View Full Record in Web of Science")</f>
        <v>View Full Record in Web of Science</v>
      </c>
    </row>
    <row r="314" spans="1:72" x14ac:dyDescent="0.15">
      <c r="A314" t="s">
        <v>72</v>
      </c>
      <c r="B314" t="s">
        <v>4429</v>
      </c>
      <c r="C314" t="s">
        <v>74</v>
      </c>
      <c r="D314" t="s">
        <v>74</v>
      </c>
      <c r="E314" t="s">
        <v>74</v>
      </c>
      <c r="F314" t="s">
        <v>4429</v>
      </c>
      <c r="G314" t="s">
        <v>74</v>
      </c>
      <c r="H314" t="s">
        <v>74</v>
      </c>
      <c r="I314" t="s">
        <v>4430</v>
      </c>
      <c r="J314" t="s">
        <v>4431</v>
      </c>
      <c r="K314" t="s">
        <v>74</v>
      </c>
      <c r="L314" t="s">
        <v>74</v>
      </c>
      <c r="M314" t="s">
        <v>77</v>
      </c>
      <c r="N314" t="s">
        <v>236</v>
      </c>
      <c r="O314" t="s">
        <v>74</v>
      </c>
      <c r="P314" t="s">
        <v>74</v>
      </c>
      <c r="Q314" t="s">
        <v>74</v>
      </c>
      <c r="R314" t="s">
        <v>74</v>
      </c>
      <c r="S314" t="s">
        <v>74</v>
      </c>
      <c r="T314" t="s">
        <v>4432</v>
      </c>
      <c r="U314" t="s">
        <v>4433</v>
      </c>
      <c r="V314" t="s">
        <v>4434</v>
      </c>
      <c r="W314" t="s">
        <v>833</v>
      </c>
      <c r="X314" t="s">
        <v>221</v>
      </c>
      <c r="Y314" t="s">
        <v>4435</v>
      </c>
      <c r="Z314" t="s">
        <v>4436</v>
      </c>
      <c r="AA314" t="s">
        <v>74</v>
      </c>
      <c r="AB314" t="s">
        <v>74</v>
      </c>
      <c r="AC314" t="s">
        <v>74</v>
      </c>
      <c r="AD314" t="s">
        <v>74</v>
      </c>
      <c r="AE314" t="s">
        <v>74</v>
      </c>
      <c r="AF314" t="s">
        <v>74</v>
      </c>
      <c r="AG314">
        <v>61</v>
      </c>
      <c r="AH314">
        <v>2</v>
      </c>
      <c r="AI314">
        <v>2</v>
      </c>
      <c r="AJ314">
        <v>0</v>
      </c>
      <c r="AK314">
        <v>7</v>
      </c>
      <c r="AL314" t="s">
        <v>737</v>
      </c>
      <c r="AM314" t="s">
        <v>738</v>
      </c>
      <c r="AN314" t="s">
        <v>739</v>
      </c>
      <c r="AO314" t="s">
        <v>4437</v>
      </c>
      <c r="AP314" t="s">
        <v>74</v>
      </c>
      <c r="AQ314" t="s">
        <v>74</v>
      </c>
      <c r="AR314" t="s">
        <v>4438</v>
      </c>
      <c r="AS314" t="s">
        <v>4439</v>
      </c>
      <c r="AT314" t="s">
        <v>74</v>
      </c>
      <c r="AU314">
        <v>2001</v>
      </c>
      <c r="AV314">
        <v>22</v>
      </c>
      <c r="AW314">
        <v>2</v>
      </c>
      <c r="AX314" t="s">
        <v>74</v>
      </c>
      <c r="AY314" t="s">
        <v>74</v>
      </c>
      <c r="AZ314" t="s">
        <v>74</v>
      </c>
      <c r="BA314" t="s">
        <v>74</v>
      </c>
      <c r="BB314">
        <v>155</v>
      </c>
      <c r="BC314">
        <v>174</v>
      </c>
      <c r="BD314" t="s">
        <v>74</v>
      </c>
      <c r="BE314" t="s">
        <v>4440</v>
      </c>
      <c r="BF314" t="str">
        <f>HYPERLINK("http://dx.doi.org/10.1023/A:1012940304074","http://dx.doi.org/10.1023/A:1012940304074")</f>
        <v>http://dx.doi.org/10.1023/A:1012940304074</v>
      </c>
      <c r="BG314" t="s">
        <v>74</v>
      </c>
      <c r="BH314" t="s">
        <v>74</v>
      </c>
      <c r="BI314">
        <v>20</v>
      </c>
      <c r="BJ314" t="s">
        <v>953</v>
      </c>
      <c r="BK314" t="s">
        <v>94</v>
      </c>
      <c r="BL314" t="s">
        <v>953</v>
      </c>
      <c r="BM314" t="s">
        <v>4441</v>
      </c>
      <c r="BN314" t="s">
        <v>74</v>
      </c>
      <c r="BO314" t="s">
        <v>74</v>
      </c>
      <c r="BP314" t="s">
        <v>74</v>
      </c>
      <c r="BQ314" t="s">
        <v>74</v>
      </c>
      <c r="BR314" t="s">
        <v>97</v>
      </c>
      <c r="BS314" t="s">
        <v>4442</v>
      </c>
      <c r="BT314" t="str">
        <f>HYPERLINK("https%3A%2F%2Fwww.webofscience.com%2Fwos%2Fwoscc%2Ffull-record%2FWOS:000172384700003","View Full Record in Web of Science")</f>
        <v>View Full Record in Web of Science</v>
      </c>
    </row>
    <row r="315" spans="1:72" x14ac:dyDescent="0.15">
      <c r="A315" t="s">
        <v>72</v>
      </c>
      <c r="B315" t="s">
        <v>4443</v>
      </c>
      <c r="C315" t="s">
        <v>74</v>
      </c>
      <c r="D315" t="s">
        <v>74</v>
      </c>
      <c r="E315" t="s">
        <v>74</v>
      </c>
      <c r="F315" t="s">
        <v>4443</v>
      </c>
      <c r="G315" t="s">
        <v>74</v>
      </c>
      <c r="H315" t="s">
        <v>74</v>
      </c>
      <c r="I315" t="s">
        <v>4444</v>
      </c>
      <c r="J315" t="s">
        <v>4431</v>
      </c>
      <c r="K315" t="s">
        <v>74</v>
      </c>
      <c r="L315" t="s">
        <v>74</v>
      </c>
      <c r="M315" t="s">
        <v>77</v>
      </c>
      <c r="N315" t="s">
        <v>236</v>
      </c>
      <c r="O315" t="s">
        <v>74</v>
      </c>
      <c r="P315" t="s">
        <v>74</v>
      </c>
      <c r="Q315" t="s">
        <v>74</v>
      </c>
      <c r="R315" t="s">
        <v>74</v>
      </c>
      <c r="S315" t="s">
        <v>74</v>
      </c>
      <c r="T315" t="s">
        <v>4445</v>
      </c>
      <c r="U315" t="s">
        <v>4446</v>
      </c>
      <c r="V315" t="s">
        <v>4447</v>
      </c>
      <c r="W315" t="s">
        <v>4448</v>
      </c>
      <c r="X315" t="s">
        <v>4449</v>
      </c>
      <c r="Y315" t="s">
        <v>4450</v>
      </c>
      <c r="Z315" t="s">
        <v>74</v>
      </c>
      <c r="AA315" t="s">
        <v>74</v>
      </c>
      <c r="AB315" t="s">
        <v>74</v>
      </c>
      <c r="AC315" t="s">
        <v>74</v>
      </c>
      <c r="AD315" t="s">
        <v>74</v>
      </c>
      <c r="AE315" t="s">
        <v>74</v>
      </c>
      <c r="AF315" t="s">
        <v>74</v>
      </c>
      <c r="AG315">
        <v>122</v>
      </c>
      <c r="AH315">
        <v>38</v>
      </c>
      <c r="AI315">
        <v>40</v>
      </c>
      <c r="AJ315">
        <v>0</v>
      </c>
      <c r="AK315">
        <v>6</v>
      </c>
      <c r="AL315" t="s">
        <v>737</v>
      </c>
      <c r="AM315" t="s">
        <v>738</v>
      </c>
      <c r="AN315" t="s">
        <v>1253</v>
      </c>
      <c r="AO315" t="s">
        <v>4437</v>
      </c>
      <c r="AP315" t="s">
        <v>74</v>
      </c>
      <c r="AQ315" t="s">
        <v>74</v>
      </c>
      <c r="AR315" t="s">
        <v>4438</v>
      </c>
      <c r="AS315" t="s">
        <v>4439</v>
      </c>
      <c r="AT315" t="s">
        <v>74</v>
      </c>
      <c r="AU315">
        <v>2001</v>
      </c>
      <c r="AV315">
        <v>22</v>
      </c>
      <c r="AW315">
        <v>3</v>
      </c>
      <c r="AX315" t="s">
        <v>74</v>
      </c>
      <c r="AY315" t="s">
        <v>74</v>
      </c>
      <c r="AZ315" t="s">
        <v>74</v>
      </c>
      <c r="BA315" t="s">
        <v>74</v>
      </c>
      <c r="BB315">
        <v>265</v>
      </c>
      <c r="BC315">
        <v>317</v>
      </c>
      <c r="BD315" t="s">
        <v>74</v>
      </c>
      <c r="BE315" t="s">
        <v>4451</v>
      </c>
      <c r="BF315" t="str">
        <f>HYPERLINK("http://dx.doi.org/10.1023/A:1013790802740","http://dx.doi.org/10.1023/A:1013790802740")</f>
        <v>http://dx.doi.org/10.1023/A:1013790802740</v>
      </c>
      <c r="BG315" t="s">
        <v>74</v>
      </c>
      <c r="BH315" t="s">
        <v>74</v>
      </c>
      <c r="BI315">
        <v>53</v>
      </c>
      <c r="BJ315" t="s">
        <v>953</v>
      </c>
      <c r="BK315" t="s">
        <v>94</v>
      </c>
      <c r="BL315" t="s">
        <v>953</v>
      </c>
      <c r="BM315" t="s">
        <v>4452</v>
      </c>
      <c r="BN315" t="s">
        <v>74</v>
      </c>
      <c r="BO315" t="s">
        <v>74</v>
      </c>
      <c r="BP315" t="s">
        <v>74</v>
      </c>
      <c r="BQ315" t="s">
        <v>74</v>
      </c>
      <c r="BR315" t="s">
        <v>97</v>
      </c>
      <c r="BS315" t="s">
        <v>4453</v>
      </c>
      <c r="BT315" t="str">
        <f>HYPERLINK("https%3A%2F%2Fwww.webofscience.com%2Fwos%2Fwoscc%2Ffull-record%2FWOS:000173204900003","View Full Record in Web of Science")</f>
        <v>View Full Record in Web of Science</v>
      </c>
    </row>
    <row r="316" spans="1:72" x14ac:dyDescent="0.15">
      <c r="A316" t="s">
        <v>72</v>
      </c>
      <c r="B316" t="s">
        <v>4454</v>
      </c>
      <c r="C316" t="s">
        <v>74</v>
      </c>
      <c r="D316" t="s">
        <v>74</v>
      </c>
      <c r="E316" t="s">
        <v>74</v>
      </c>
      <c r="F316" t="s">
        <v>4454</v>
      </c>
      <c r="G316" t="s">
        <v>74</v>
      </c>
      <c r="H316" t="s">
        <v>74</v>
      </c>
      <c r="I316" t="s">
        <v>4455</v>
      </c>
      <c r="J316" t="s">
        <v>4456</v>
      </c>
      <c r="K316" t="s">
        <v>74</v>
      </c>
      <c r="L316" t="s">
        <v>74</v>
      </c>
      <c r="M316" t="s">
        <v>77</v>
      </c>
      <c r="N316" t="s">
        <v>576</v>
      </c>
      <c r="O316" t="s">
        <v>4457</v>
      </c>
      <c r="P316" t="s">
        <v>4458</v>
      </c>
      <c r="Q316" t="s">
        <v>4459</v>
      </c>
      <c r="R316" t="s">
        <v>74</v>
      </c>
      <c r="S316" t="s">
        <v>74</v>
      </c>
      <c r="T316" t="s">
        <v>4460</v>
      </c>
      <c r="U316" t="s">
        <v>4461</v>
      </c>
      <c r="V316" t="s">
        <v>4462</v>
      </c>
      <c r="W316" t="s">
        <v>4463</v>
      </c>
      <c r="X316" t="s">
        <v>4464</v>
      </c>
      <c r="Y316" t="s">
        <v>4465</v>
      </c>
      <c r="Z316" t="s">
        <v>74</v>
      </c>
      <c r="AA316" t="s">
        <v>4466</v>
      </c>
      <c r="AB316" t="s">
        <v>4467</v>
      </c>
      <c r="AC316" t="s">
        <v>74</v>
      </c>
      <c r="AD316" t="s">
        <v>74</v>
      </c>
      <c r="AE316" t="s">
        <v>74</v>
      </c>
      <c r="AF316" t="s">
        <v>74</v>
      </c>
      <c r="AG316">
        <v>22</v>
      </c>
      <c r="AH316">
        <v>15</v>
      </c>
      <c r="AI316">
        <v>17</v>
      </c>
      <c r="AJ316">
        <v>0</v>
      </c>
      <c r="AK316">
        <v>11</v>
      </c>
      <c r="AL316" t="s">
        <v>4468</v>
      </c>
      <c r="AM316" t="s">
        <v>4469</v>
      </c>
      <c r="AN316" t="s">
        <v>4470</v>
      </c>
      <c r="AO316" t="s">
        <v>4471</v>
      </c>
      <c r="AP316" t="s">
        <v>74</v>
      </c>
      <c r="AQ316" t="s">
        <v>74</v>
      </c>
      <c r="AR316" t="s">
        <v>4456</v>
      </c>
      <c r="AS316" t="s">
        <v>4472</v>
      </c>
      <c r="AT316" t="s">
        <v>74</v>
      </c>
      <c r="AU316">
        <v>2001</v>
      </c>
      <c r="AV316">
        <v>31</v>
      </c>
      <c r="AW316" t="s">
        <v>1257</v>
      </c>
      <c r="AX316" t="s">
        <v>74</v>
      </c>
      <c r="AY316" t="s">
        <v>74</v>
      </c>
      <c r="AZ316" t="s">
        <v>74</v>
      </c>
      <c r="BA316" t="s">
        <v>74</v>
      </c>
      <c r="BB316">
        <v>69</v>
      </c>
      <c r="BC316">
        <v>84</v>
      </c>
      <c r="BD316" t="s">
        <v>74</v>
      </c>
      <c r="BE316" t="s">
        <v>74</v>
      </c>
      <c r="BF316" t="s">
        <v>74</v>
      </c>
      <c r="BG316" t="s">
        <v>74</v>
      </c>
      <c r="BH316" t="s">
        <v>74</v>
      </c>
      <c r="BI316">
        <v>16</v>
      </c>
      <c r="BJ316" t="s">
        <v>725</v>
      </c>
      <c r="BK316" t="s">
        <v>596</v>
      </c>
      <c r="BL316" t="s">
        <v>725</v>
      </c>
      <c r="BM316" t="s">
        <v>4473</v>
      </c>
      <c r="BN316" t="s">
        <v>74</v>
      </c>
      <c r="BO316" t="s">
        <v>74</v>
      </c>
      <c r="BP316" t="s">
        <v>74</v>
      </c>
      <c r="BQ316" t="s">
        <v>74</v>
      </c>
      <c r="BR316" t="s">
        <v>97</v>
      </c>
      <c r="BS316" t="s">
        <v>4474</v>
      </c>
      <c r="BT316" t="str">
        <f>HYPERLINK("https%3A%2F%2Fwww.webofscience.com%2Fwos%2Fwoscc%2Ffull-record%2FWOS:000169857900006","View Full Record in Web of Science")</f>
        <v>View Full Record in Web of Science</v>
      </c>
    </row>
    <row r="317" spans="1:72" x14ac:dyDescent="0.15">
      <c r="A317" t="s">
        <v>72</v>
      </c>
      <c r="B317" t="s">
        <v>4475</v>
      </c>
      <c r="C317" t="s">
        <v>74</v>
      </c>
      <c r="D317" t="s">
        <v>74</v>
      </c>
      <c r="E317" t="s">
        <v>74</v>
      </c>
      <c r="F317" t="s">
        <v>4475</v>
      </c>
      <c r="G317" t="s">
        <v>74</v>
      </c>
      <c r="H317" t="s">
        <v>74</v>
      </c>
      <c r="I317" t="s">
        <v>4476</v>
      </c>
      <c r="J317" t="s">
        <v>4456</v>
      </c>
      <c r="K317" t="s">
        <v>74</v>
      </c>
      <c r="L317" t="s">
        <v>74</v>
      </c>
      <c r="M317" t="s">
        <v>77</v>
      </c>
      <c r="N317" t="s">
        <v>576</v>
      </c>
      <c r="O317" t="s">
        <v>4457</v>
      </c>
      <c r="P317" t="s">
        <v>4458</v>
      </c>
      <c r="Q317" t="s">
        <v>4459</v>
      </c>
      <c r="R317" t="s">
        <v>74</v>
      </c>
      <c r="S317" t="s">
        <v>74</v>
      </c>
      <c r="T317" t="s">
        <v>4477</v>
      </c>
      <c r="U317" t="s">
        <v>4478</v>
      </c>
      <c r="V317" t="s">
        <v>4479</v>
      </c>
      <c r="W317" t="s">
        <v>4480</v>
      </c>
      <c r="X317" t="s">
        <v>4481</v>
      </c>
      <c r="Y317" t="s">
        <v>4482</v>
      </c>
      <c r="Z317" t="s">
        <v>74</v>
      </c>
      <c r="AA317" t="s">
        <v>4483</v>
      </c>
      <c r="AB317" t="s">
        <v>74</v>
      </c>
      <c r="AC317" t="s">
        <v>74</v>
      </c>
      <c r="AD317" t="s">
        <v>74</v>
      </c>
      <c r="AE317" t="s">
        <v>74</v>
      </c>
      <c r="AF317" t="s">
        <v>74</v>
      </c>
      <c r="AG317">
        <v>26</v>
      </c>
      <c r="AH317">
        <v>13</v>
      </c>
      <c r="AI317">
        <v>15</v>
      </c>
      <c r="AJ317">
        <v>0</v>
      </c>
      <c r="AK317">
        <v>2</v>
      </c>
      <c r="AL317" t="s">
        <v>4468</v>
      </c>
      <c r="AM317" t="s">
        <v>4469</v>
      </c>
      <c r="AN317" t="s">
        <v>4470</v>
      </c>
      <c r="AO317" t="s">
        <v>4471</v>
      </c>
      <c r="AP317" t="s">
        <v>74</v>
      </c>
      <c r="AQ317" t="s">
        <v>74</v>
      </c>
      <c r="AR317" t="s">
        <v>4456</v>
      </c>
      <c r="AS317" t="s">
        <v>4472</v>
      </c>
      <c r="AT317" t="s">
        <v>74</v>
      </c>
      <c r="AU317">
        <v>2001</v>
      </c>
      <c r="AV317">
        <v>31</v>
      </c>
      <c r="AW317" t="s">
        <v>1257</v>
      </c>
      <c r="AX317" t="s">
        <v>74</v>
      </c>
      <c r="AY317" t="s">
        <v>74</v>
      </c>
      <c r="AZ317" t="s">
        <v>74</v>
      </c>
      <c r="BA317" t="s">
        <v>74</v>
      </c>
      <c r="BB317">
        <v>141</v>
      </c>
      <c r="BC317">
        <v>151</v>
      </c>
      <c r="BD317" t="s">
        <v>74</v>
      </c>
      <c r="BE317" t="s">
        <v>74</v>
      </c>
      <c r="BF317" t="s">
        <v>74</v>
      </c>
      <c r="BG317" t="s">
        <v>74</v>
      </c>
      <c r="BH317" t="s">
        <v>74</v>
      </c>
      <c r="BI317">
        <v>11</v>
      </c>
      <c r="BJ317" t="s">
        <v>725</v>
      </c>
      <c r="BK317" t="s">
        <v>596</v>
      </c>
      <c r="BL317" t="s">
        <v>725</v>
      </c>
      <c r="BM317" t="s">
        <v>4473</v>
      </c>
      <c r="BN317" t="s">
        <v>74</v>
      </c>
      <c r="BO317" t="s">
        <v>74</v>
      </c>
      <c r="BP317" t="s">
        <v>74</v>
      </c>
      <c r="BQ317" t="s">
        <v>74</v>
      </c>
      <c r="BR317" t="s">
        <v>97</v>
      </c>
      <c r="BS317" t="s">
        <v>4484</v>
      </c>
      <c r="BT317" t="str">
        <f>HYPERLINK("https%3A%2F%2Fwww.webofscience.com%2Fwos%2Fwoscc%2Ffull-record%2FWOS:000169857900011","View Full Record in Web of Science")</f>
        <v>View Full Record in Web of Science</v>
      </c>
    </row>
    <row r="318" spans="1:72" x14ac:dyDescent="0.15">
      <c r="A318" t="s">
        <v>72</v>
      </c>
      <c r="B318" t="s">
        <v>4485</v>
      </c>
      <c r="C318" t="s">
        <v>74</v>
      </c>
      <c r="D318" t="s">
        <v>74</v>
      </c>
      <c r="E318" t="s">
        <v>74</v>
      </c>
      <c r="F318" t="s">
        <v>4485</v>
      </c>
      <c r="G318" t="s">
        <v>74</v>
      </c>
      <c r="H318" t="s">
        <v>74</v>
      </c>
      <c r="I318" t="s">
        <v>4486</v>
      </c>
      <c r="J318" t="s">
        <v>4487</v>
      </c>
      <c r="K318" t="s">
        <v>74</v>
      </c>
      <c r="L318" t="s">
        <v>74</v>
      </c>
      <c r="M318" t="s">
        <v>77</v>
      </c>
      <c r="N318" t="s">
        <v>78</v>
      </c>
      <c r="O318" t="s">
        <v>74</v>
      </c>
      <c r="P318" t="s">
        <v>74</v>
      </c>
      <c r="Q318" t="s">
        <v>74</v>
      </c>
      <c r="R318" t="s">
        <v>74</v>
      </c>
      <c r="S318" t="s">
        <v>74</v>
      </c>
      <c r="T318" t="s">
        <v>74</v>
      </c>
      <c r="U318" t="s">
        <v>4488</v>
      </c>
      <c r="V318" t="s">
        <v>4489</v>
      </c>
      <c r="W318" t="s">
        <v>4490</v>
      </c>
      <c r="X318" t="s">
        <v>4491</v>
      </c>
      <c r="Y318" t="s">
        <v>4492</v>
      </c>
      <c r="Z318" t="s">
        <v>74</v>
      </c>
      <c r="AA318" t="s">
        <v>4493</v>
      </c>
      <c r="AB318" t="s">
        <v>4494</v>
      </c>
      <c r="AC318" t="s">
        <v>74</v>
      </c>
      <c r="AD318" t="s">
        <v>74</v>
      </c>
      <c r="AE318" t="s">
        <v>74</v>
      </c>
      <c r="AF318" t="s">
        <v>74</v>
      </c>
      <c r="AG318">
        <v>57</v>
      </c>
      <c r="AH318">
        <v>44</v>
      </c>
      <c r="AI318">
        <v>48</v>
      </c>
      <c r="AJ318">
        <v>1</v>
      </c>
      <c r="AK318">
        <v>14</v>
      </c>
      <c r="AL318" t="s">
        <v>4495</v>
      </c>
      <c r="AM318" t="s">
        <v>4496</v>
      </c>
      <c r="AN318" t="s">
        <v>4497</v>
      </c>
      <c r="AO318" t="s">
        <v>4498</v>
      </c>
      <c r="AP318" t="s">
        <v>74</v>
      </c>
      <c r="AQ318" t="s">
        <v>74</v>
      </c>
      <c r="AR318" t="s">
        <v>4499</v>
      </c>
      <c r="AS318" t="s">
        <v>4500</v>
      </c>
      <c r="AT318" t="s">
        <v>91</v>
      </c>
      <c r="AU318">
        <v>2001</v>
      </c>
      <c r="AV318">
        <v>53</v>
      </c>
      <c r="AW318">
        <v>1</v>
      </c>
      <c r="AX318" t="s">
        <v>74</v>
      </c>
      <c r="AY318" t="s">
        <v>74</v>
      </c>
      <c r="AZ318" t="s">
        <v>74</v>
      </c>
      <c r="BA318" t="s">
        <v>74</v>
      </c>
      <c r="BB318">
        <v>1</v>
      </c>
      <c r="BC318">
        <v>26</v>
      </c>
      <c r="BD318" t="s">
        <v>74</v>
      </c>
      <c r="BE318" t="s">
        <v>4501</v>
      </c>
      <c r="BF318" t="str">
        <f>HYPERLINK("http://dx.doi.org/10.1034/j.1600-0870.2001.01073.x","http://dx.doi.org/10.1034/j.1600-0870.2001.01073.x")</f>
        <v>http://dx.doi.org/10.1034/j.1600-0870.2001.01073.x</v>
      </c>
      <c r="BG318" t="s">
        <v>74</v>
      </c>
      <c r="BH318" t="s">
        <v>74</v>
      </c>
      <c r="BI318">
        <v>26</v>
      </c>
      <c r="BJ318" t="s">
        <v>1769</v>
      </c>
      <c r="BK318" t="s">
        <v>94</v>
      </c>
      <c r="BL318" t="s">
        <v>1769</v>
      </c>
      <c r="BM318" t="s">
        <v>4502</v>
      </c>
      <c r="BN318" t="s">
        <v>74</v>
      </c>
      <c r="BO318" t="s">
        <v>74</v>
      </c>
      <c r="BP318" t="s">
        <v>74</v>
      </c>
      <c r="BQ318" t="s">
        <v>74</v>
      </c>
      <c r="BR318" t="s">
        <v>97</v>
      </c>
      <c r="BS318" t="s">
        <v>4503</v>
      </c>
      <c r="BT318" t="str">
        <f>HYPERLINK("https%3A%2F%2Fwww.webofscience.com%2Fwos%2Fwoscc%2Ffull-record%2FWOS:000166786000001","View Full Record in Web of Science")</f>
        <v>View Full Record in Web of Science</v>
      </c>
    </row>
    <row r="319" spans="1:72" x14ac:dyDescent="0.15">
      <c r="A319" t="s">
        <v>72</v>
      </c>
      <c r="B319" t="s">
        <v>4504</v>
      </c>
      <c r="C319" t="s">
        <v>74</v>
      </c>
      <c r="D319" t="s">
        <v>74</v>
      </c>
      <c r="E319" t="s">
        <v>74</v>
      </c>
      <c r="F319" t="s">
        <v>4504</v>
      </c>
      <c r="G319" t="s">
        <v>74</v>
      </c>
      <c r="H319" t="s">
        <v>74</v>
      </c>
      <c r="I319" t="s">
        <v>4505</v>
      </c>
      <c r="J319" t="s">
        <v>4487</v>
      </c>
      <c r="K319" t="s">
        <v>74</v>
      </c>
      <c r="L319" t="s">
        <v>74</v>
      </c>
      <c r="M319" t="s">
        <v>77</v>
      </c>
      <c r="N319" t="s">
        <v>78</v>
      </c>
      <c r="O319" t="s">
        <v>74</v>
      </c>
      <c r="P319" t="s">
        <v>74</v>
      </c>
      <c r="Q319" t="s">
        <v>74</v>
      </c>
      <c r="R319" t="s">
        <v>74</v>
      </c>
      <c r="S319" t="s">
        <v>74</v>
      </c>
      <c r="T319" t="s">
        <v>74</v>
      </c>
      <c r="U319" t="s">
        <v>4506</v>
      </c>
      <c r="V319" t="s">
        <v>4507</v>
      </c>
      <c r="W319" t="s">
        <v>4508</v>
      </c>
      <c r="X319" t="s">
        <v>3541</v>
      </c>
      <c r="Y319" t="s">
        <v>4509</v>
      </c>
      <c r="Z319" t="s">
        <v>74</v>
      </c>
      <c r="AA319" t="s">
        <v>74</v>
      </c>
      <c r="AB319" t="s">
        <v>74</v>
      </c>
      <c r="AC319" t="s">
        <v>74</v>
      </c>
      <c r="AD319" t="s">
        <v>74</v>
      </c>
      <c r="AE319" t="s">
        <v>74</v>
      </c>
      <c r="AF319" t="s">
        <v>74</v>
      </c>
      <c r="AG319">
        <v>51</v>
      </c>
      <c r="AH319">
        <v>30</v>
      </c>
      <c r="AI319">
        <v>40</v>
      </c>
      <c r="AJ319">
        <v>1</v>
      </c>
      <c r="AK319">
        <v>7</v>
      </c>
      <c r="AL319" t="s">
        <v>4495</v>
      </c>
      <c r="AM319" t="s">
        <v>4496</v>
      </c>
      <c r="AN319" t="s">
        <v>4497</v>
      </c>
      <c r="AO319" t="s">
        <v>4498</v>
      </c>
      <c r="AP319" t="s">
        <v>74</v>
      </c>
      <c r="AQ319" t="s">
        <v>74</v>
      </c>
      <c r="AR319" t="s">
        <v>4499</v>
      </c>
      <c r="AS319" t="s">
        <v>4500</v>
      </c>
      <c r="AT319" t="s">
        <v>91</v>
      </c>
      <c r="AU319">
        <v>2001</v>
      </c>
      <c r="AV319">
        <v>53</v>
      </c>
      <c r="AW319">
        <v>1</v>
      </c>
      <c r="AX319" t="s">
        <v>74</v>
      </c>
      <c r="AY319" t="s">
        <v>74</v>
      </c>
      <c r="AZ319" t="s">
        <v>74</v>
      </c>
      <c r="BA319" t="s">
        <v>74</v>
      </c>
      <c r="BB319">
        <v>94</v>
      </c>
      <c r="BC319">
        <v>111</v>
      </c>
      <c r="BD319" t="s">
        <v>74</v>
      </c>
      <c r="BE319" t="s">
        <v>4510</v>
      </c>
      <c r="BF319" t="str">
        <f>HYPERLINK("http://dx.doi.org/10.1034/j.1600-0870.2001.01061.x","http://dx.doi.org/10.1034/j.1600-0870.2001.01061.x")</f>
        <v>http://dx.doi.org/10.1034/j.1600-0870.2001.01061.x</v>
      </c>
      <c r="BG319" t="s">
        <v>74</v>
      </c>
      <c r="BH319" t="s">
        <v>74</v>
      </c>
      <c r="BI319">
        <v>18</v>
      </c>
      <c r="BJ319" t="s">
        <v>1769</v>
      </c>
      <c r="BK319" t="s">
        <v>94</v>
      </c>
      <c r="BL319" t="s">
        <v>1769</v>
      </c>
      <c r="BM319" t="s">
        <v>4502</v>
      </c>
      <c r="BN319" t="s">
        <v>74</v>
      </c>
      <c r="BO319" t="s">
        <v>1337</v>
      </c>
      <c r="BP319" t="s">
        <v>74</v>
      </c>
      <c r="BQ319" t="s">
        <v>74</v>
      </c>
      <c r="BR319" t="s">
        <v>97</v>
      </c>
      <c r="BS319" t="s">
        <v>4511</v>
      </c>
      <c r="BT319" t="str">
        <f>HYPERLINK("https%3A%2F%2Fwww.webofscience.com%2Fwos%2Fwoscc%2Ffull-record%2FWOS:000166786000006","View Full Record in Web of Science")</f>
        <v>View Full Record in Web of Science</v>
      </c>
    </row>
    <row r="320" spans="1:72" x14ac:dyDescent="0.15">
      <c r="A320" t="s">
        <v>72</v>
      </c>
      <c r="B320" t="s">
        <v>4512</v>
      </c>
      <c r="C320" t="s">
        <v>74</v>
      </c>
      <c r="D320" t="s">
        <v>74</v>
      </c>
      <c r="E320" t="s">
        <v>74</v>
      </c>
      <c r="F320" t="s">
        <v>4512</v>
      </c>
      <c r="G320" t="s">
        <v>74</v>
      </c>
      <c r="H320" t="s">
        <v>74</v>
      </c>
      <c r="I320" t="s">
        <v>4513</v>
      </c>
      <c r="J320" t="s">
        <v>4514</v>
      </c>
      <c r="K320" t="s">
        <v>74</v>
      </c>
      <c r="L320" t="s">
        <v>74</v>
      </c>
      <c r="M320" t="s">
        <v>77</v>
      </c>
      <c r="N320" t="s">
        <v>576</v>
      </c>
      <c r="O320" t="s">
        <v>4515</v>
      </c>
      <c r="P320" t="s">
        <v>4516</v>
      </c>
      <c r="Q320" t="s">
        <v>4517</v>
      </c>
      <c r="R320" t="s">
        <v>74</v>
      </c>
      <c r="S320" t="s">
        <v>74</v>
      </c>
      <c r="T320" t="s">
        <v>4518</v>
      </c>
      <c r="U320" t="s">
        <v>4519</v>
      </c>
      <c r="V320" t="s">
        <v>4520</v>
      </c>
      <c r="W320" t="s">
        <v>833</v>
      </c>
      <c r="X320" t="s">
        <v>221</v>
      </c>
      <c r="Y320" t="s">
        <v>4521</v>
      </c>
      <c r="Z320" t="s">
        <v>74</v>
      </c>
      <c r="AA320" t="s">
        <v>74</v>
      </c>
      <c r="AB320" t="s">
        <v>74</v>
      </c>
      <c r="AC320" t="s">
        <v>74</v>
      </c>
      <c r="AD320" t="s">
        <v>74</v>
      </c>
      <c r="AE320" t="s">
        <v>74</v>
      </c>
      <c r="AF320" t="s">
        <v>74</v>
      </c>
      <c r="AG320">
        <v>76</v>
      </c>
      <c r="AH320">
        <v>15</v>
      </c>
      <c r="AI320">
        <v>15</v>
      </c>
      <c r="AJ320">
        <v>0</v>
      </c>
      <c r="AK320">
        <v>4</v>
      </c>
      <c r="AL320" t="s">
        <v>4522</v>
      </c>
      <c r="AM320" t="s">
        <v>4523</v>
      </c>
      <c r="AN320" t="s">
        <v>4524</v>
      </c>
      <c r="AO320" t="s">
        <v>4525</v>
      </c>
      <c r="AP320" t="s">
        <v>74</v>
      </c>
      <c r="AQ320" t="s">
        <v>74</v>
      </c>
      <c r="AR320" t="s">
        <v>4526</v>
      </c>
      <c r="AS320" t="s">
        <v>4527</v>
      </c>
      <c r="AT320" t="s">
        <v>74</v>
      </c>
      <c r="AU320">
        <v>2001</v>
      </c>
      <c r="AV320">
        <v>91</v>
      </c>
      <c r="AW320" t="s">
        <v>74</v>
      </c>
      <c r="AX320" t="s">
        <v>1046</v>
      </c>
      <c r="AY320" t="s">
        <v>74</v>
      </c>
      <c r="AZ320" t="s">
        <v>74</v>
      </c>
      <c r="BA320" t="s">
        <v>74</v>
      </c>
      <c r="BB320">
        <v>539</v>
      </c>
      <c r="BC320">
        <v>555</v>
      </c>
      <c r="BD320" t="s">
        <v>74</v>
      </c>
      <c r="BE320" t="s">
        <v>4528</v>
      </c>
      <c r="BF320" t="str">
        <f>HYPERLINK("http://dx.doi.org/10.1017/S0263593300008385","http://dx.doi.org/10.1017/S0263593300008385")</f>
        <v>http://dx.doi.org/10.1017/S0263593300008385</v>
      </c>
      <c r="BG320" t="s">
        <v>74</v>
      </c>
      <c r="BH320" t="s">
        <v>74</v>
      </c>
      <c r="BI320">
        <v>17</v>
      </c>
      <c r="BJ320" t="s">
        <v>4529</v>
      </c>
      <c r="BK320" t="s">
        <v>596</v>
      </c>
      <c r="BL320" t="s">
        <v>4530</v>
      </c>
      <c r="BM320" t="s">
        <v>4531</v>
      </c>
      <c r="BN320" t="s">
        <v>74</v>
      </c>
      <c r="BO320" t="s">
        <v>74</v>
      </c>
      <c r="BP320" t="s">
        <v>74</v>
      </c>
      <c r="BQ320" t="s">
        <v>74</v>
      </c>
      <c r="BR320" t="s">
        <v>97</v>
      </c>
      <c r="BS320" t="s">
        <v>4532</v>
      </c>
      <c r="BT320" t="str">
        <f>HYPERLINK("https%3A%2F%2Fwww.webofscience.com%2Fwos%2Fwoscc%2Ffull-record%2FWOS:000170552600019","View Full Record in Web of Science")</f>
        <v>View Full Record in Web of Science</v>
      </c>
    </row>
    <row r="321" spans="1:72" x14ac:dyDescent="0.15">
      <c r="A321" t="s">
        <v>72</v>
      </c>
      <c r="B321" t="s">
        <v>4533</v>
      </c>
      <c r="C321" t="s">
        <v>74</v>
      </c>
      <c r="D321" t="s">
        <v>74</v>
      </c>
      <c r="E321" t="s">
        <v>74</v>
      </c>
      <c r="F321" t="s">
        <v>4533</v>
      </c>
      <c r="G321" t="s">
        <v>74</v>
      </c>
      <c r="H321" t="s">
        <v>74</v>
      </c>
      <c r="I321" t="s">
        <v>4534</v>
      </c>
      <c r="J321" t="s">
        <v>4535</v>
      </c>
      <c r="K321" t="s">
        <v>74</v>
      </c>
      <c r="L321" t="s">
        <v>74</v>
      </c>
      <c r="M321" t="s">
        <v>4536</v>
      </c>
      <c r="N321" t="s">
        <v>236</v>
      </c>
      <c r="O321" t="s">
        <v>74</v>
      </c>
      <c r="P321" t="s">
        <v>74</v>
      </c>
      <c r="Q321" t="s">
        <v>74</v>
      </c>
      <c r="R321" t="s">
        <v>74</v>
      </c>
      <c r="S321" t="s">
        <v>74</v>
      </c>
      <c r="T321" t="s">
        <v>74</v>
      </c>
      <c r="U321" t="s">
        <v>4537</v>
      </c>
      <c r="V321" t="s">
        <v>4538</v>
      </c>
      <c r="W321" t="s">
        <v>4539</v>
      </c>
      <c r="X321" t="s">
        <v>4540</v>
      </c>
      <c r="Y321" t="s">
        <v>4541</v>
      </c>
      <c r="Z321" t="s">
        <v>4542</v>
      </c>
      <c r="AA321" t="s">
        <v>4543</v>
      </c>
      <c r="AB321" t="s">
        <v>74</v>
      </c>
      <c r="AC321" t="s">
        <v>74</v>
      </c>
      <c r="AD321" t="s">
        <v>74</v>
      </c>
      <c r="AE321" t="s">
        <v>74</v>
      </c>
      <c r="AF321" t="s">
        <v>74</v>
      </c>
      <c r="AG321">
        <v>254</v>
      </c>
      <c r="AH321">
        <v>23</v>
      </c>
      <c r="AI321">
        <v>26</v>
      </c>
      <c r="AJ321">
        <v>0</v>
      </c>
      <c r="AK321">
        <v>5</v>
      </c>
      <c r="AL321" t="s">
        <v>4544</v>
      </c>
      <c r="AM321" t="s">
        <v>4545</v>
      </c>
      <c r="AN321" t="s">
        <v>4546</v>
      </c>
      <c r="AO321" t="s">
        <v>4547</v>
      </c>
      <c r="AP321" t="s">
        <v>74</v>
      </c>
      <c r="AQ321" t="s">
        <v>74</v>
      </c>
      <c r="AR321" t="s">
        <v>4548</v>
      </c>
      <c r="AS321" t="s">
        <v>4549</v>
      </c>
      <c r="AT321" t="s">
        <v>74</v>
      </c>
      <c r="AU321">
        <v>2001</v>
      </c>
      <c r="AV321">
        <v>70</v>
      </c>
      <c r="AW321">
        <v>8</v>
      </c>
      <c r="AX321" t="s">
        <v>74</v>
      </c>
      <c r="AY321" t="s">
        <v>74</v>
      </c>
      <c r="AZ321" t="s">
        <v>74</v>
      </c>
      <c r="BA321" t="s">
        <v>74</v>
      </c>
      <c r="BB321">
        <v>763</v>
      </c>
      <c r="BC321">
        <v>808</v>
      </c>
      <c r="BD321" t="s">
        <v>74</v>
      </c>
      <c r="BE321" t="s">
        <v>74</v>
      </c>
      <c r="BF321" t="s">
        <v>74</v>
      </c>
      <c r="BG321" t="s">
        <v>74</v>
      </c>
      <c r="BH321" t="s">
        <v>74</v>
      </c>
      <c r="BI321">
        <v>46</v>
      </c>
      <c r="BJ321" t="s">
        <v>4550</v>
      </c>
      <c r="BK321" t="s">
        <v>94</v>
      </c>
      <c r="BL321" t="s">
        <v>934</v>
      </c>
      <c r="BM321" t="s">
        <v>4551</v>
      </c>
      <c r="BN321" t="s">
        <v>74</v>
      </c>
      <c r="BO321" t="s">
        <v>74</v>
      </c>
      <c r="BP321" t="s">
        <v>74</v>
      </c>
      <c r="BQ321" t="s">
        <v>74</v>
      </c>
      <c r="BR321" t="s">
        <v>97</v>
      </c>
      <c r="BS321" t="s">
        <v>4552</v>
      </c>
      <c r="BT321" t="str">
        <f>HYPERLINK("https%3A%2F%2Fwww.webofscience.com%2Fwos%2Fwoscc%2Ffull-record%2FWOS:000184202900004","View Full Record in Web of Science")</f>
        <v>View Full Record in Web of Science</v>
      </c>
    </row>
    <row r="322" spans="1:72" x14ac:dyDescent="0.15">
      <c r="A322" t="s">
        <v>209</v>
      </c>
      <c r="B322" t="s">
        <v>4553</v>
      </c>
      <c r="C322" t="s">
        <v>74</v>
      </c>
      <c r="D322" t="s">
        <v>4554</v>
      </c>
      <c r="E322" t="s">
        <v>74</v>
      </c>
      <c r="F322" t="s">
        <v>4553</v>
      </c>
      <c r="G322" t="s">
        <v>74</v>
      </c>
      <c r="H322" t="s">
        <v>74</v>
      </c>
      <c r="I322" t="s">
        <v>4555</v>
      </c>
      <c r="J322" t="s">
        <v>4556</v>
      </c>
      <c r="K322" t="s">
        <v>74</v>
      </c>
      <c r="L322" t="s">
        <v>74</v>
      </c>
      <c r="M322" t="s">
        <v>77</v>
      </c>
      <c r="N322" t="s">
        <v>214</v>
      </c>
      <c r="O322" t="s">
        <v>4557</v>
      </c>
      <c r="P322" t="s">
        <v>4558</v>
      </c>
      <c r="Q322" t="s">
        <v>4559</v>
      </c>
      <c r="R322" t="s">
        <v>74</v>
      </c>
      <c r="S322" t="s">
        <v>74</v>
      </c>
      <c r="T322" t="s">
        <v>74</v>
      </c>
      <c r="U322" t="s">
        <v>4560</v>
      </c>
      <c r="V322" t="s">
        <v>4561</v>
      </c>
      <c r="W322" t="s">
        <v>4562</v>
      </c>
      <c r="X322" t="s">
        <v>4563</v>
      </c>
      <c r="Y322" t="s">
        <v>4564</v>
      </c>
      <c r="Z322" t="s">
        <v>74</v>
      </c>
      <c r="AA322" t="s">
        <v>74</v>
      </c>
      <c r="AB322" t="s">
        <v>74</v>
      </c>
      <c r="AC322" t="s">
        <v>74</v>
      </c>
      <c r="AD322" t="s">
        <v>74</v>
      </c>
      <c r="AE322" t="s">
        <v>74</v>
      </c>
      <c r="AF322" t="s">
        <v>74</v>
      </c>
      <c r="AG322">
        <v>8</v>
      </c>
      <c r="AH322">
        <v>3</v>
      </c>
      <c r="AI322">
        <v>3</v>
      </c>
      <c r="AJ322">
        <v>0</v>
      </c>
      <c r="AK322">
        <v>4</v>
      </c>
      <c r="AL322" t="s">
        <v>224</v>
      </c>
      <c r="AM322" t="s">
        <v>225</v>
      </c>
      <c r="AN322" t="s">
        <v>226</v>
      </c>
      <c r="AO322" t="s">
        <v>74</v>
      </c>
      <c r="AP322" t="s">
        <v>74</v>
      </c>
      <c r="AQ322" t="s">
        <v>4565</v>
      </c>
      <c r="AR322" t="s">
        <v>74</v>
      </c>
      <c r="AS322" t="s">
        <v>74</v>
      </c>
      <c r="AT322" t="s">
        <v>74</v>
      </c>
      <c r="AU322">
        <v>2001</v>
      </c>
      <c r="AV322" t="s">
        <v>74</v>
      </c>
      <c r="AW322" t="s">
        <v>74</v>
      </c>
      <c r="AX322" t="s">
        <v>74</v>
      </c>
      <c r="AY322" t="s">
        <v>74</v>
      </c>
      <c r="AZ322" t="s">
        <v>74</v>
      </c>
      <c r="BA322" t="s">
        <v>74</v>
      </c>
      <c r="BB322">
        <v>1079</v>
      </c>
      <c r="BC322">
        <v>1081</v>
      </c>
      <c r="BD322" t="s">
        <v>74</v>
      </c>
      <c r="BE322" t="s">
        <v>74</v>
      </c>
      <c r="BF322" t="s">
        <v>74</v>
      </c>
      <c r="BG322" t="s">
        <v>74</v>
      </c>
      <c r="BH322" t="s">
        <v>74</v>
      </c>
      <c r="BI322">
        <v>3</v>
      </c>
      <c r="BJ322" t="s">
        <v>4566</v>
      </c>
      <c r="BK322" t="s">
        <v>229</v>
      </c>
      <c r="BL322" t="s">
        <v>4567</v>
      </c>
      <c r="BM322" t="s">
        <v>4568</v>
      </c>
      <c r="BN322" t="s">
        <v>74</v>
      </c>
      <c r="BO322" t="s">
        <v>74</v>
      </c>
      <c r="BP322" t="s">
        <v>74</v>
      </c>
      <c r="BQ322" t="s">
        <v>74</v>
      </c>
      <c r="BR322" t="s">
        <v>97</v>
      </c>
      <c r="BS322" t="s">
        <v>4569</v>
      </c>
      <c r="BT322" t="str">
        <f>HYPERLINK("https%3A%2F%2Fwww.webofscience.com%2Fwos%2Fwoscc%2Ffull-record%2FWOS:000172263500253","View Full Record in Web of Science")</f>
        <v>View Full Record in Web of Science</v>
      </c>
    </row>
    <row r="323" spans="1:72" x14ac:dyDescent="0.15">
      <c r="A323" t="s">
        <v>209</v>
      </c>
      <c r="B323" t="s">
        <v>4570</v>
      </c>
      <c r="C323" t="s">
        <v>74</v>
      </c>
      <c r="D323" t="s">
        <v>4554</v>
      </c>
      <c r="E323" t="s">
        <v>74</v>
      </c>
      <c r="F323" t="s">
        <v>4570</v>
      </c>
      <c r="G323" t="s">
        <v>74</v>
      </c>
      <c r="H323" t="s">
        <v>74</v>
      </c>
      <c r="I323" t="s">
        <v>4571</v>
      </c>
      <c r="J323" t="s">
        <v>4556</v>
      </c>
      <c r="K323" t="s">
        <v>74</v>
      </c>
      <c r="L323" t="s">
        <v>74</v>
      </c>
      <c r="M323" t="s">
        <v>77</v>
      </c>
      <c r="N323" t="s">
        <v>214</v>
      </c>
      <c r="O323" t="s">
        <v>4557</v>
      </c>
      <c r="P323" t="s">
        <v>4558</v>
      </c>
      <c r="Q323" t="s">
        <v>4559</v>
      </c>
      <c r="R323" t="s">
        <v>74</v>
      </c>
      <c r="S323" t="s">
        <v>74</v>
      </c>
      <c r="T323" t="s">
        <v>74</v>
      </c>
      <c r="U323" t="s">
        <v>74</v>
      </c>
      <c r="V323" t="s">
        <v>4572</v>
      </c>
      <c r="W323" t="s">
        <v>4573</v>
      </c>
      <c r="X323" t="s">
        <v>74</v>
      </c>
      <c r="Y323" t="s">
        <v>4574</v>
      </c>
      <c r="Z323" t="s">
        <v>74</v>
      </c>
      <c r="AA323" t="s">
        <v>74</v>
      </c>
      <c r="AB323" t="s">
        <v>74</v>
      </c>
      <c r="AC323" t="s">
        <v>74</v>
      </c>
      <c r="AD323" t="s">
        <v>74</v>
      </c>
      <c r="AE323" t="s">
        <v>74</v>
      </c>
      <c r="AF323" t="s">
        <v>74</v>
      </c>
      <c r="AG323">
        <v>10</v>
      </c>
      <c r="AH323">
        <v>0</v>
      </c>
      <c r="AI323">
        <v>0</v>
      </c>
      <c r="AJ323">
        <v>0</v>
      </c>
      <c r="AK323">
        <v>2</v>
      </c>
      <c r="AL323" t="s">
        <v>224</v>
      </c>
      <c r="AM323" t="s">
        <v>225</v>
      </c>
      <c r="AN323" t="s">
        <v>226</v>
      </c>
      <c r="AO323" t="s">
        <v>74</v>
      </c>
      <c r="AP323" t="s">
        <v>74</v>
      </c>
      <c r="AQ323" t="s">
        <v>4565</v>
      </c>
      <c r="AR323" t="s">
        <v>74</v>
      </c>
      <c r="AS323" t="s">
        <v>74</v>
      </c>
      <c r="AT323" t="s">
        <v>74</v>
      </c>
      <c r="AU323">
        <v>2001</v>
      </c>
      <c r="AV323" t="s">
        <v>74</v>
      </c>
      <c r="AW323" t="s">
        <v>74</v>
      </c>
      <c r="AX323" t="s">
        <v>74</v>
      </c>
      <c r="AY323" t="s">
        <v>74</v>
      </c>
      <c r="AZ323" t="s">
        <v>74</v>
      </c>
      <c r="BA323" t="s">
        <v>74</v>
      </c>
      <c r="BB323">
        <v>1143</v>
      </c>
      <c r="BC323">
        <v>1146</v>
      </c>
      <c r="BD323" t="s">
        <v>74</v>
      </c>
      <c r="BE323" t="s">
        <v>74</v>
      </c>
      <c r="BF323" t="s">
        <v>74</v>
      </c>
      <c r="BG323" t="s">
        <v>74</v>
      </c>
      <c r="BH323" t="s">
        <v>74</v>
      </c>
      <c r="BI323">
        <v>4</v>
      </c>
      <c r="BJ323" t="s">
        <v>4566</v>
      </c>
      <c r="BK323" t="s">
        <v>229</v>
      </c>
      <c r="BL323" t="s">
        <v>4567</v>
      </c>
      <c r="BM323" t="s">
        <v>4568</v>
      </c>
      <c r="BN323" t="s">
        <v>74</v>
      </c>
      <c r="BO323" t="s">
        <v>74</v>
      </c>
      <c r="BP323" t="s">
        <v>74</v>
      </c>
      <c r="BQ323" t="s">
        <v>74</v>
      </c>
      <c r="BR323" t="s">
        <v>97</v>
      </c>
      <c r="BS323" t="s">
        <v>4575</v>
      </c>
      <c r="BT323" t="str">
        <f>HYPERLINK("https%3A%2F%2Fwww.webofscience.com%2Fwos%2Fwoscc%2Ffull-record%2FWOS:000172263500269","View Full Record in Web of Science")</f>
        <v>View Full Record in Web of Science</v>
      </c>
    </row>
    <row r="324" spans="1:72" x14ac:dyDescent="0.15">
      <c r="A324" t="s">
        <v>72</v>
      </c>
      <c r="B324" t="s">
        <v>4576</v>
      </c>
      <c r="C324" t="s">
        <v>74</v>
      </c>
      <c r="D324" t="s">
        <v>74</v>
      </c>
      <c r="E324" t="s">
        <v>74</v>
      </c>
      <c r="F324" t="s">
        <v>4576</v>
      </c>
      <c r="G324" t="s">
        <v>74</v>
      </c>
      <c r="H324" t="s">
        <v>74</v>
      </c>
      <c r="I324" t="s">
        <v>4577</v>
      </c>
      <c r="J324" t="s">
        <v>4578</v>
      </c>
      <c r="K324" t="s">
        <v>74</v>
      </c>
      <c r="L324" t="s">
        <v>74</v>
      </c>
      <c r="M324" t="s">
        <v>77</v>
      </c>
      <c r="N324" t="s">
        <v>78</v>
      </c>
      <c r="O324" t="s">
        <v>74</v>
      </c>
      <c r="P324" t="s">
        <v>74</v>
      </c>
      <c r="Q324" t="s">
        <v>74</v>
      </c>
      <c r="R324" t="s">
        <v>74</v>
      </c>
      <c r="S324" t="s">
        <v>74</v>
      </c>
      <c r="T324" t="s">
        <v>74</v>
      </c>
      <c r="U324" t="s">
        <v>4579</v>
      </c>
      <c r="V324" t="s">
        <v>4580</v>
      </c>
      <c r="W324" t="s">
        <v>4581</v>
      </c>
      <c r="X324" t="s">
        <v>327</v>
      </c>
      <c r="Y324" t="s">
        <v>4582</v>
      </c>
      <c r="Z324" t="s">
        <v>4583</v>
      </c>
      <c r="AA324" t="s">
        <v>74</v>
      </c>
      <c r="AB324" t="s">
        <v>74</v>
      </c>
      <c r="AC324" t="s">
        <v>74</v>
      </c>
      <c r="AD324" t="s">
        <v>74</v>
      </c>
      <c r="AE324" t="s">
        <v>74</v>
      </c>
      <c r="AF324" t="s">
        <v>74</v>
      </c>
      <c r="AG324">
        <v>24</v>
      </c>
      <c r="AH324">
        <v>6</v>
      </c>
      <c r="AI324">
        <v>6</v>
      </c>
      <c r="AJ324">
        <v>0</v>
      </c>
      <c r="AK324">
        <v>2</v>
      </c>
      <c r="AL324" t="s">
        <v>1842</v>
      </c>
      <c r="AM324" t="s">
        <v>1843</v>
      </c>
      <c r="AN324" t="s">
        <v>1844</v>
      </c>
      <c r="AO324" t="s">
        <v>4584</v>
      </c>
      <c r="AP324" t="s">
        <v>4585</v>
      </c>
      <c r="AQ324" t="s">
        <v>74</v>
      </c>
      <c r="AR324" t="s">
        <v>4586</v>
      </c>
      <c r="AS324" t="s">
        <v>4587</v>
      </c>
      <c r="AT324" t="s">
        <v>74</v>
      </c>
      <c r="AU324">
        <v>2001</v>
      </c>
      <c r="AV324">
        <v>16</v>
      </c>
      <c r="AW324">
        <v>4</v>
      </c>
      <c r="AX324" t="s">
        <v>74</v>
      </c>
      <c r="AY324" t="s">
        <v>74</v>
      </c>
      <c r="AZ324" t="s">
        <v>74</v>
      </c>
      <c r="BA324" t="s">
        <v>74</v>
      </c>
      <c r="BB324">
        <v>416</v>
      </c>
      <c r="BC324">
        <v>431</v>
      </c>
      <c r="BD324" t="s">
        <v>74</v>
      </c>
      <c r="BE324" t="s">
        <v>4588</v>
      </c>
      <c r="BF324" t="str">
        <f>HYPERLINK("http://dx.doi.org/10.1175/1520-0434(2001)016&lt;0416:AOSWAM&gt;2.0.CO;2","http://dx.doi.org/10.1175/1520-0434(2001)016&lt;0416:AOSWAM&gt;2.0.CO;2")</f>
        <v>http://dx.doi.org/10.1175/1520-0434(2001)016&lt;0416:AOSWAM&gt;2.0.CO;2</v>
      </c>
      <c r="BG324" t="s">
        <v>74</v>
      </c>
      <c r="BH324" t="s">
        <v>74</v>
      </c>
      <c r="BI324">
        <v>16</v>
      </c>
      <c r="BJ324" t="s">
        <v>167</v>
      </c>
      <c r="BK324" t="s">
        <v>94</v>
      </c>
      <c r="BL324" t="s">
        <v>167</v>
      </c>
      <c r="BM324" t="s">
        <v>4589</v>
      </c>
      <c r="BN324" t="s">
        <v>74</v>
      </c>
      <c r="BO324" t="s">
        <v>1850</v>
      </c>
      <c r="BP324" t="s">
        <v>74</v>
      </c>
      <c r="BQ324" t="s">
        <v>74</v>
      </c>
      <c r="BR324" t="s">
        <v>97</v>
      </c>
      <c r="BS324" t="s">
        <v>4590</v>
      </c>
      <c r="BT324" t="str">
        <f>HYPERLINK("https%3A%2F%2Fwww.webofscience.com%2Fwos%2Fwoscc%2Ffull-record%2FWOS:000170271000003","View Full Record in Web of Science")</f>
        <v>View Full Record in Web of Science</v>
      </c>
    </row>
    <row r="325" spans="1:72" x14ac:dyDescent="0.15">
      <c r="A325" t="s">
        <v>72</v>
      </c>
      <c r="B325" t="s">
        <v>4591</v>
      </c>
      <c r="C325" t="s">
        <v>74</v>
      </c>
      <c r="D325" t="s">
        <v>74</v>
      </c>
      <c r="E325" t="s">
        <v>74</v>
      </c>
      <c r="F325" t="s">
        <v>4591</v>
      </c>
      <c r="G325" t="s">
        <v>74</v>
      </c>
      <c r="H325" t="s">
        <v>74</v>
      </c>
      <c r="I325" t="s">
        <v>4592</v>
      </c>
      <c r="J325" t="s">
        <v>4593</v>
      </c>
      <c r="K325" t="s">
        <v>74</v>
      </c>
      <c r="L325" t="s">
        <v>74</v>
      </c>
      <c r="M325" t="s">
        <v>77</v>
      </c>
      <c r="N325" t="s">
        <v>78</v>
      </c>
      <c r="O325" t="s">
        <v>74</v>
      </c>
      <c r="P325" t="s">
        <v>74</v>
      </c>
      <c r="Q325" t="s">
        <v>74</v>
      </c>
      <c r="R325" t="s">
        <v>74</v>
      </c>
      <c r="S325" t="s">
        <v>74</v>
      </c>
      <c r="T325" t="s">
        <v>74</v>
      </c>
      <c r="U325" t="s">
        <v>4594</v>
      </c>
      <c r="V325" t="s">
        <v>4595</v>
      </c>
      <c r="W325" t="s">
        <v>4596</v>
      </c>
      <c r="X325" t="s">
        <v>1224</v>
      </c>
      <c r="Y325" t="s">
        <v>4597</v>
      </c>
      <c r="Z325" t="s">
        <v>74</v>
      </c>
      <c r="AA325" t="s">
        <v>4598</v>
      </c>
      <c r="AB325" t="s">
        <v>4599</v>
      </c>
      <c r="AC325" t="s">
        <v>74</v>
      </c>
      <c r="AD325" t="s">
        <v>74</v>
      </c>
      <c r="AE325" t="s">
        <v>74</v>
      </c>
      <c r="AF325" t="s">
        <v>74</v>
      </c>
      <c r="AG325">
        <v>15</v>
      </c>
      <c r="AH325">
        <v>16</v>
      </c>
      <c r="AI325">
        <v>17</v>
      </c>
      <c r="AJ325">
        <v>0</v>
      </c>
      <c r="AK325">
        <v>27</v>
      </c>
      <c r="AL325" t="s">
        <v>669</v>
      </c>
      <c r="AM325" t="s">
        <v>670</v>
      </c>
      <c r="AN325" t="s">
        <v>671</v>
      </c>
      <c r="AO325" t="s">
        <v>4600</v>
      </c>
      <c r="AP325" t="s">
        <v>74</v>
      </c>
      <c r="AQ325" t="s">
        <v>74</v>
      </c>
      <c r="AR325" t="s">
        <v>4601</v>
      </c>
      <c r="AS325" t="s">
        <v>4602</v>
      </c>
      <c r="AT325" t="s">
        <v>74</v>
      </c>
      <c r="AU325">
        <v>2001</v>
      </c>
      <c r="AV325">
        <v>28</v>
      </c>
      <c r="AW325">
        <v>1</v>
      </c>
      <c r="AX325" t="s">
        <v>74</v>
      </c>
      <c r="AY325" t="s">
        <v>74</v>
      </c>
      <c r="AZ325" t="s">
        <v>74</v>
      </c>
      <c r="BA325" t="s">
        <v>74</v>
      </c>
      <c r="BB325">
        <v>9</v>
      </c>
      <c r="BC325">
        <v>16</v>
      </c>
      <c r="BD325" t="s">
        <v>74</v>
      </c>
      <c r="BE325" t="s">
        <v>4603</v>
      </c>
      <c r="BF325" t="str">
        <f>HYPERLINK("http://dx.doi.org/10.1071/WR99088","http://dx.doi.org/10.1071/WR99088")</f>
        <v>http://dx.doi.org/10.1071/WR99088</v>
      </c>
      <c r="BG325" t="s">
        <v>74</v>
      </c>
      <c r="BH325" t="s">
        <v>74</v>
      </c>
      <c r="BI325">
        <v>8</v>
      </c>
      <c r="BJ325" t="s">
        <v>4604</v>
      </c>
      <c r="BK325" t="s">
        <v>94</v>
      </c>
      <c r="BL325" t="s">
        <v>4605</v>
      </c>
      <c r="BM325" t="s">
        <v>4606</v>
      </c>
      <c r="BN325" t="s">
        <v>74</v>
      </c>
      <c r="BO325" t="s">
        <v>74</v>
      </c>
      <c r="BP325" t="s">
        <v>74</v>
      </c>
      <c r="BQ325" t="s">
        <v>74</v>
      </c>
      <c r="BR325" t="s">
        <v>97</v>
      </c>
      <c r="BS325" t="s">
        <v>4607</v>
      </c>
      <c r="BT325" t="str">
        <f>HYPERLINK("https%3A%2F%2Fwww.webofscience.com%2Fwos%2Fwoscc%2Ffull-record%2FWOS:000168021500002","View Full Record in Web of Science")</f>
        <v>View Full Record in Web of Science</v>
      </c>
    </row>
    <row r="326" spans="1:72" x14ac:dyDescent="0.15">
      <c r="A326" t="s">
        <v>72</v>
      </c>
      <c r="B326" t="s">
        <v>4608</v>
      </c>
      <c r="C326" t="s">
        <v>74</v>
      </c>
      <c r="D326" t="s">
        <v>74</v>
      </c>
      <c r="E326" t="s">
        <v>74</v>
      </c>
      <c r="F326" t="s">
        <v>4608</v>
      </c>
      <c r="G326" t="s">
        <v>74</v>
      </c>
      <c r="H326" t="s">
        <v>74</v>
      </c>
      <c r="I326" t="s">
        <v>4609</v>
      </c>
      <c r="J326" t="s">
        <v>4593</v>
      </c>
      <c r="K326" t="s">
        <v>74</v>
      </c>
      <c r="L326" t="s">
        <v>74</v>
      </c>
      <c r="M326" t="s">
        <v>77</v>
      </c>
      <c r="N326" t="s">
        <v>78</v>
      </c>
      <c r="O326" t="s">
        <v>74</v>
      </c>
      <c r="P326" t="s">
        <v>74</v>
      </c>
      <c r="Q326" t="s">
        <v>74</v>
      </c>
      <c r="R326" t="s">
        <v>74</v>
      </c>
      <c r="S326" t="s">
        <v>74</v>
      </c>
      <c r="T326" t="s">
        <v>74</v>
      </c>
      <c r="U326" t="s">
        <v>4610</v>
      </c>
      <c r="V326" t="s">
        <v>4611</v>
      </c>
      <c r="W326" t="s">
        <v>4612</v>
      </c>
      <c r="X326" t="s">
        <v>4613</v>
      </c>
      <c r="Y326" t="s">
        <v>4614</v>
      </c>
      <c r="Z326" t="s">
        <v>4615</v>
      </c>
      <c r="AA326" t="s">
        <v>74</v>
      </c>
      <c r="AB326" t="s">
        <v>74</v>
      </c>
      <c r="AC326" t="s">
        <v>74</v>
      </c>
      <c r="AD326" t="s">
        <v>74</v>
      </c>
      <c r="AE326" t="s">
        <v>74</v>
      </c>
      <c r="AF326" t="s">
        <v>74</v>
      </c>
      <c r="AG326">
        <v>50</v>
      </c>
      <c r="AH326">
        <v>28</v>
      </c>
      <c r="AI326">
        <v>31</v>
      </c>
      <c r="AJ326">
        <v>0</v>
      </c>
      <c r="AK326">
        <v>15</v>
      </c>
      <c r="AL326" t="s">
        <v>2729</v>
      </c>
      <c r="AM326" t="s">
        <v>2730</v>
      </c>
      <c r="AN326" t="s">
        <v>2731</v>
      </c>
      <c r="AO326" t="s">
        <v>4600</v>
      </c>
      <c r="AP326" t="s">
        <v>4616</v>
      </c>
      <c r="AQ326" t="s">
        <v>74</v>
      </c>
      <c r="AR326" t="s">
        <v>4601</v>
      </c>
      <c r="AS326" t="s">
        <v>4602</v>
      </c>
      <c r="AT326" t="s">
        <v>74</v>
      </c>
      <c r="AU326">
        <v>2001</v>
      </c>
      <c r="AV326">
        <v>28</v>
      </c>
      <c r="AW326">
        <v>3</v>
      </c>
      <c r="AX326" t="s">
        <v>74</v>
      </c>
      <c r="AY326" t="s">
        <v>74</v>
      </c>
      <c r="AZ326" t="s">
        <v>74</v>
      </c>
      <c r="BA326" t="s">
        <v>74</v>
      </c>
      <c r="BB326">
        <v>323</v>
      </c>
      <c r="BC326">
        <v>331</v>
      </c>
      <c r="BD326" t="s">
        <v>74</v>
      </c>
      <c r="BE326" t="s">
        <v>4617</v>
      </c>
      <c r="BF326" t="str">
        <f>HYPERLINK("http://dx.doi.org/10.1071/WR00042","http://dx.doi.org/10.1071/WR00042")</f>
        <v>http://dx.doi.org/10.1071/WR00042</v>
      </c>
      <c r="BG326" t="s">
        <v>74</v>
      </c>
      <c r="BH326" t="s">
        <v>74</v>
      </c>
      <c r="BI326">
        <v>9</v>
      </c>
      <c r="BJ326" t="s">
        <v>4604</v>
      </c>
      <c r="BK326" t="s">
        <v>94</v>
      </c>
      <c r="BL326" t="s">
        <v>4605</v>
      </c>
      <c r="BM326" t="s">
        <v>4618</v>
      </c>
      <c r="BN326" t="s">
        <v>74</v>
      </c>
      <c r="BO326" t="s">
        <v>74</v>
      </c>
      <c r="BP326" t="s">
        <v>74</v>
      </c>
      <c r="BQ326" t="s">
        <v>74</v>
      </c>
      <c r="BR326" t="s">
        <v>97</v>
      </c>
      <c r="BS326" t="s">
        <v>4619</v>
      </c>
      <c r="BT326" t="str">
        <f>HYPERLINK("https%3A%2F%2Fwww.webofscience.com%2Fwos%2Fwoscc%2Ffull-record%2FWOS:000170397400012","View Full Record in Web of Science")</f>
        <v>View Full Record in Web of Science</v>
      </c>
    </row>
    <row r="327" spans="1:72" x14ac:dyDescent="0.15">
      <c r="A327" t="s">
        <v>72</v>
      </c>
      <c r="B327" t="s">
        <v>661</v>
      </c>
      <c r="C327" t="s">
        <v>74</v>
      </c>
      <c r="D327" t="s">
        <v>74</v>
      </c>
      <c r="E327" t="s">
        <v>74</v>
      </c>
      <c r="F327" t="s">
        <v>661</v>
      </c>
      <c r="G327" t="s">
        <v>74</v>
      </c>
      <c r="H327" t="s">
        <v>74</v>
      </c>
      <c r="I327" t="s">
        <v>4620</v>
      </c>
      <c r="J327" t="s">
        <v>4593</v>
      </c>
      <c r="K327" t="s">
        <v>74</v>
      </c>
      <c r="L327" t="s">
        <v>74</v>
      </c>
      <c r="M327" t="s">
        <v>77</v>
      </c>
      <c r="N327" t="s">
        <v>78</v>
      </c>
      <c r="O327" t="s">
        <v>74</v>
      </c>
      <c r="P327" t="s">
        <v>74</v>
      </c>
      <c r="Q327" t="s">
        <v>74</v>
      </c>
      <c r="R327" t="s">
        <v>74</v>
      </c>
      <c r="S327" t="s">
        <v>74</v>
      </c>
      <c r="T327" t="s">
        <v>74</v>
      </c>
      <c r="U327" t="s">
        <v>4621</v>
      </c>
      <c r="V327" t="s">
        <v>4622</v>
      </c>
      <c r="W327" t="s">
        <v>3869</v>
      </c>
      <c r="X327" t="s">
        <v>667</v>
      </c>
      <c r="Y327" t="s">
        <v>4623</v>
      </c>
      <c r="Z327" t="s">
        <v>74</v>
      </c>
      <c r="AA327" t="s">
        <v>74</v>
      </c>
      <c r="AB327" t="s">
        <v>74</v>
      </c>
      <c r="AC327" t="s">
        <v>74</v>
      </c>
      <c r="AD327" t="s">
        <v>74</v>
      </c>
      <c r="AE327" t="s">
        <v>74</v>
      </c>
      <c r="AF327" t="s">
        <v>74</v>
      </c>
      <c r="AG327">
        <v>24</v>
      </c>
      <c r="AH327">
        <v>17</v>
      </c>
      <c r="AI327">
        <v>19</v>
      </c>
      <c r="AJ327">
        <v>0</v>
      </c>
      <c r="AK327">
        <v>13</v>
      </c>
      <c r="AL327" t="s">
        <v>669</v>
      </c>
      <c r="AM327" t="s">
        <v>670</v>
      </c>
      <c r="AN327" t="s">
        <v>671</v>
      </c>
      <c r="AO327" t="s">
        <v>4600</v>
      </c>
      <c r="AP327" t="s">
        <v>74</v>
      </c>
      <c r="AQ327" t="s">
        <v>74</v>
      </c>
      <c r="AR327" t="s">
        <v>4601</v>
      </c>
      <c r="AS327" t="s">
        <v>4602</v>
      </c>
      <c r="AT327" t="s">
        <v>74</v>
      </c>
      <c r="AU327">
        <v>2001</v>
      </c>
      <c r="AV327">
        <v>28</v>
      </c>
      <c r="AW327">
        <v>4</v>
      </c>
      <c r="AX327" t="s">
        <v>74</v>
      </c>
      <c r="AY327" t="s">
        <v>74</v>
      </c>
      <c r="AZ327" t="s">
        <v>74</v>
      </c>
      <c r="BA327" t="s">
        <v>74</v>
      </c>
      <c r="BB327">
        <v>413</v>
      </c>
      <c r="BC327">
        <v>418</v>
      </c>
      <c r="BD327" t="s">
        <v>74</v>
      </c>
      <c r="BE327" t="s">
        <v>4624</v>
      </c>
      <c r="BF327" t="str">
        <f>HYPERLINK("http://dx.doi.org/10.1071/WR00065","http://dx.doi.org/10.1071/WR00065")</f>
        <v>http://dx.doi.org/10.1071/WR00065</v>
      </c>
      <c r="BG327" t="s">
        <v>74</v>
      </c>
      <c r="BH327" t="s">
        <v>74</v>
      </c>
      <c r="BI327">
        <v>6</v>
      </c>
      <c r="BJ327" t="s">
        <v>4604</v>
      </c>
      <c r="BK327" t="s">
        <v>94</v>
      </c>
      <c r="BL327" t="s">
        <v>4605</v>
      </c>
      <c r="BM327" t="s">
        <v>4625</v>
      </c>
      <c r="BN327" t="s">
        <v>74</v>
      </c>
      <c r="BO327" t="s">
        <v>74</v>
      </c>
      <c r="BP327" t="s">
        <v>74</v>
      </c>
      <c r="BQ327" t="s">
        <v>74</v>
      </c>
      <c r="BR327" t="s">
        <v>97</v>
      </c>
      <c r="BS327" t="s">
        <v>4626</v>
      </c>
      <c r="BT327" t="str">
        <f>HYPERLINK("https%3A%2F%2Fwww.webofscience.com%2Fwos%2Fwoscc%2Ffull-record%2FWOS:000172037300008","View Full Record in Web of Science")</f>
        <v>View Full Record in Web of Science</v>
      </c>
    </row>
    <row r="328" spans="1:72" x14ac:dyDescent="0.15">
      <c r="A328" t="s">
        <v>72</v>
      </c>
      <c r="B328" t="s">
        <v>4627</v>
      </c>
      <c r="C328" t="s">
        <v>74</v>
      </c>
      <c r="D328" t="s">
        <v>74</v>
      </c>
      <c r="E328" t="s">
        <v>74</v>
      </c>
      <c r="F328" t="s">
        <v>4627</v>
      </c>
      <c r="G328" t="s">
        <v>74</v>
      </c>
      <c r="H328" t="s">
        <v>74</v>
      </c>
      <c r="I328" t="s">
        <v>4628</v>
      </c>
      <c r="J328" t="s">
        <v>4593</v>
      </c>
      <c r="K328" t="s">
        <v>74</v>
      </c>
      <c r="L328" t="s">
        <v>74</v>
      </c>
      <c r="M328" t="s">
        <v>77</v>
      </c>
      <c r="N328" t="s">
        <v>78</v>
      </c>
      <c r="O328" t="s">
        <v>74</v>
      </c>
      <c r="P328" t="s">
        <v>74</v>
      </c>
      <c r="Q328" t="s">
        <v>74</v>
      </c>
      <c r="R328" t="s">
        <v>74</v>
      </c>
      <c r="S328" t="s">
        <v>74</v>
      </c>
      <c r="T328" t="s">
        <v>74</v>
      </c>
      <c r="U328" t="s">
        <v>4629</v>
      </c>
      <c r="V328" t="s">
        <v>4630</v>
      </c>
      <c r="W328" t="s">
        <v>4631</v>
      </c>
      <c r="X328" t="s">
        <v>327</v>
      </c>
      <c r="Y328" t="s">
        <v>4632</v>
      </c>
      <c r="Z328" t="s">
        <v>74</v>
      </c>
      <c r="AA328" t="s">
        <v>4633</v>
      </c>
      <c r="AB328" t="s">
        <v>4634</v>
      </c>
      <c r="AC328" t="s">
        <v>74</v>
      </c>
      <c r="AD328" t="s">
        <v>74</v>
      </c>
      <c r="AE328" t="s">
        <v>74</v>
      </c>
      <c r="AF328" t="s">
        <v>74</v>
      </c>
      <c r="AG328">
        <v>44</v>
      </c>
      <c r="AH328">
        <v>14</v>
      </c>
      <c r="AI328">
        <v>16</v>
      </c>
      <c r="AJ328">
        <v>0</v>
      </c>
      <c r="AK328">
        <v>8</v>
      </c>
      <c r="AL328" t="s">
        <v>669</v>
      </c>
      <c r="AM328" t="s">
        <v>670</v>
      </c>
      <c r="AN328" t="s">
        <v>671</v>
      </c>
      <c r="AO328" t="s">
        <v>4600</v>
      </c>
      <c r="AP328" t="s">
        <v>74</v>
      </c>
      <c r="AQ328" t="s">
        <v>74</v>
      </c>
      <c r="AR328" t="s">
        <v>4601</v>
      </c>
      <c r="AS328" t="s">
        <v>4602</v>
      </c>
      <c r="AT328" t="s">
        <v>74</v>
      </c>
      <c r="AU328">
        <v>2001</v>
      </c>
      <c r="AV328">
        <v>28</v>
      </c>
      <c r="AW328">
        <v>6</v>
      </c>
      <c r="AX328" t="s">
        <v>74</v>
      </c>
      <c r="AY328" t="s">
        <v>74</v>
      </c>
      <c r="AZ328" t="s">
        <v>74</v>
      </c>
      <c r="BA328" t="s">
        <v>74</v>
      </c>
      <c r="BB328">
        <v>581</v>
      </c>
      <c r="BC328">
        <v>588</v>
      </c>
      <c r="BD328" t="s">
        <v>74</v>
      </c>
      <c r="BE328" t="s">
        <v>4635</v>
      </c>
      <c r="BF328" t="str">
        <f>HYPERLINK("http://dx.doi.org/10.1071/WR00066","http://dx.doi.org/10.1071/WR00066")</f>
        <v>http://dx.doi.org/10.1071/WR00066</v>
      </c>
      <c r="BG328" t="s">
        <v>74</v>
      </c>
      <c r="BH328" t="s">
        <v>74</v>
      </c>
      <c r="BI328">
        <v>8</v>
      </c>
      <c r="BJ328" t="s">
        <v>4604</v>
      </c>
      <c r="BK328" t="s">
        <v>94</v>
      </c>
      <c r="BL328" t="s">
        <v>4605</v>
      </c>
      <c r="BM328" t="s">
        <v>4636</v>
      </c>
      <c r="BN328" t="s">
        <v>74</v>
      </c>
      <c r="BO328" t="s">
        <v>74</v>
      </c>
      <c r="BP328" t="s">
        <v>74</v>
      </c>
      <c r="BQ328" t="s">
        <v>74</v>
      </c>
      <c r="BR328" t="s">
        <v>97</v>
      </c>
      <c r="BS328" t="s">
        <v>4637</v>
      </c>
      <c r="BT328" t="str">
        <f>HYPERLINK("https%3A%2F%2Fwww.webofscience.com%2Fwos%2Fwoscc%2Ffull-record%2FWOS:000172821400005","View Full Record in Web of Science")</f>
        <v>View Full Record in Web of Science</v>
      </c>
    </row>
    <row r="329" spans="1:72" x14ac:dyDescent="0.15">
      <c r="A329" t="s">
        <v>72</v>
      </c>
      <c r="B329" t="s">
        <v>4638</v>
      </c>
      <c r="C329" t="s">
        <v>74</v>
      </c>
      <c r="D329" t="s">
        <v>74</v>
      </c>
      <c r="E329" t="s">
        <v>74</v>
      </c>
      <c r="F329" t="s">
        <v>4638</v>
      </c>
      <c r="G329" t="s">
        <v>74</v>
      </c>
      <c r="H329" t="s">
        <v>74</v>
      </c>
      <c r="I329" t="s">
        <v>4639</v>
      </c>
      <c r="J329" t="s">
        <v>4640</v>
      </c>
      <c r="K329" t="s">
        <v>74</v>
      </c>
      <c r="L329" t="s">
        <v>74</v>
      </c>
      <c r="M329" t="s">
        <v>77</v>
      </c>
      <c r="N329" t="s">
        <v>576</v>
      </c>
      <c r="O329" t="s">
        <v>4641</v>
      </c>
      <c r="P329" t="s">
        <v>4642</v>
      </c>
      <c r="Q329" t="s">
        <v>4643</v>
      </c>
      <c r="R329" t="s">
        <v>74</v>
      </c>
      <c r="S329" t="s">
        <v>4644</v>
      </c>
      <c r="T329" t="s">
        <v>4645</v>
      </c>
      <c r="U329" t="s">
        <v>4646</v>
      </c>
      <c r="V329" t="s">
        <v>4647</v>
      </c>
      <c r="W329" t="s">
        <v>4648</v>
      </c>
      <c r="X329" t="s">
        <v>2129</v>
      </c>
      <c r="Y329" t="s">
        <v>4649</v>
      </c>
      <c r="Z329" t="s">
        <v>74</v>
      </c>
      <c r="AA329" t="s">
        <v>74</v>
      </c>
      <c r="AB329" t="s">
        <v>4650</v>
      </c>
      <c r="AC329" t="s">
        <v>74</v>
      </c>
      <c r="AD329" t="s">
        <v>74</v>
      </c>
      <c r="AE329" t="s">
        <v>74</v>
      </c>
      <c r="AF329" t="s">
        <v>74</v>
      </c>
      <c r="AG329">
        <v>106</v>
      </c>
      <c r="AH329">
        <v>153</v>
      </c>
      <c r="AI329">
        <v>171</v>
      </c>
      <c r="AJ329">
        <v>0</v>
      </c>
      <c r="AK329">
        <v>47</v>
      </c>
      <c r="AL329" t="s">
        <v>3736</v>
      </c>
      <c r="AM329" t="s">
        <v>3737</v>
      </c>
      <c r="AN329" t="s">
        <v>3738</v>
      </c>
      <c r="AO329" t="s">
        <v>4651</v>
      </c>
      <c r="AP329" t="s">
        <v>74</v>
      </c>
      <c r="AQ329" t="s">
        <v>74</v>
      </c>
      <c r="AR329" t="s">
        <v>4652</v>
      </c>
      <c r="AS329" t="s">
        <v>4653</v>
      </c>
      <c r="AT329" t="s">
        <v>74</v>
      </c>
      <c r="AU329">
        <v>2001</v>
      </c>
      <c r="AV329">
        <v>104</v>
      </c>
      <c r="AW329" t="s">
        <v>1046</v>
      </c>
      <c r="AX329" t="s">
        <v>74</v>
      </c>
      <c r="AY329" t="s">
        <v>74</v>
      </c>
      <c r="AZ329" t="s">
        <v>74</v>
      </c>
      <c r="BA329" t="s">
        <v>74</v>
      </c>
      <c r="BB329">
        <v>313</v>
      </c>
      <c r="BC329">
        <v>326</v>
      </c>
      <c r="BD329" t="s">
        <v>74</v>
      </c>
      <c r="BE329" t="s">
        <v>4654</v>
      </c>
      <c r="BF329" t="str">
        <f>HYPERLINK("http://dx.doi.org/10.1078/0944-2006-00037","http://dx.doi.org/10.1078/0944-2006-00037")</f>
        <v>http://dx.doi.org/10.1078/0944-2006-00037</v>
      </c>
      <c r="BG329" t="s">
        <v>74</v>
      </c>
      <c r="BH329" t="s">
        <v>74</v>
      </c>
      <c r="BI329">
        <v>14</v>
      </c>
      <c r="BJ329" t="s">
        <v>206</v>
      </c>
      <c r="BK329" t="s">
        <v>596</v>
      </c>
      <c r="BL329" t="s">
        <v>206</v>
      </c>
      <c r="BM329" t="s">
        <v>4655</v>
      </c>
      <c r="BN329">
        <v>16351846</v>
      </c>
      <c r="BO329" t="s">
        <v>74</v>
      </c>
      <c r="BP329" t="s">
        <v>74</v>
      </c>
      <c r="BQ329" t="s">
        <v>74</v>
      </c>
      <c r="BR329" t="s">
        <v>97</v>
      </c>
      <c r="BS329" t="s">
        <v>4656</v>
      </c>
      <c r="BT329" t="str">
        <f>HYPERLINK("https%3A%2F%2Fwww.webofscience.com%2Fwos%2Fwoscc%2Ffull-record%2FWOS:000174431600017","View Full Record in Web of Science")</f>
        <v>View Full Record in Web of Science</v>
      </c>
    </row>
    <row r="330" spans="1:72" x14ac:dyDescent="0.15">
      <c r="A330" t="s">
        <v>72</v>
      </c>
      <c r="B330" t="s">
        <v>4657</v>
      </c>
      <c r="C330" t="s">
        <v>74</v>
      </c>
      <c r="D330" t="s">
        <v>74</v>
      </c>
      <c r="E330" t="s">
        <v>74</v>
      </c>
      <c r="F330" t="s">
        <v>4657</v>
      </c>
      <c r="G330" t="s">
        <v>74</v>
      </c>
      <c r="H330" t="s">
        <v>74</v>
      </c>
      <c r="I330" t="s">
        <v>4658</v>
      </c>
      <c r="J330" t="s">
        <v>4640</v>
      </c>
      <c r="K330" t="s">
        <v>74</v>
      </c>
      <c r="L330" t="s">
        <v>74</v>
      </c>
      <c r="M330" t="s">
        <v>77</v>
      </c>
      <c r="N330" t="s">
        <v>576</v>
      </c>
      <c r="O330" t="s">
        <v>4641</v>
      </c>
      <c r="P330" t="s">
        <v>4642</v>
      </c>
      <c r="Q330" t="s">
        <v>4643</v>
      </c>
      <c r="R330" t="s">
        <v>74</v>
      </c>
      <c r="S330" t="s">
        <v>4644</v>
      </c>
      <c r="T330" t="s">
        <v>4659</v>
      </c>
      <c r="U330" t="s">
        <v>4660</v>
      </c>
      <c r="V330" t="s">
        <v>4661</v>
      </c>
      <c r="W330" t="s">
        <v>4662</v>
      </c>
      <c r="X330" t="s">
        <v>4663</v>
      </c>
      <c r="Y330" t="s">
        <v>4664</v>
      </c>
      <c r="Z330" t="s">
        <v>74</v>
      </c>
      <c r="AA330" t="s">
        <v>4665</v>
      </c>
      <c r="AB330" t="s">
        <v>4666</v>
      </c>
      <c r="AC330" t="s">
        <v>74</v>
      </c>
      <c r="AD330" t="s">
        <v>74</v>
      </c>
      <c r="AE330" t="s">
        <v>74</v>
      </c>
      <c r="AF330" t="s">
        <v>74</v>
      </c>
      <c r="AG330">
        <v>53</v>
      </c>
      <c r="AH330">
        <v>15</v>
      </c>
      <c r="AI330">
        <v>16</v>
      </c>
      <c r="AJ330">
        <v>1</v>
      </c>
      <c r="AK330">
        <v>22</v>
      </c>
      <c r="AL330" t="s">
        <v>3736</v>
      </c>
      <c r="AM330" t="s">
        <v>3737</v>
      </c>
      <c r="AN330" t="s">
        <v>3738</v>
      </c>
      <c r="AO330" t="s">
        <v>4651</v>
      </c>
      <c r="AP330" t="s">
        <v>74</v>
      </c>
      <c r="AQ330" t="s">
        <v>74</v>
      </c>
      <c r="AR330" t="s">
        <v>4652</v>
      </c>
      <c r="AS330" t="s">
        <v>4653</v>
      </c>
      <c r="AT330" t="s">
        <v>74</v>
      </c>
      <c r="AU330">
        <v>2001</v>
      </c>
      <c r="AV330">
        <v>104</v>
      </c>
      <c r="AW330" t="s">
        <v>1046</v>
      </c>
      <c r="AX330" t="s">
        <v>74</v>
      </c>
      <c r="AY330" t="s">
        <v>74</v>
      </c>
      <c r="AZ330" t="s">
        <v>74</v>
      </c>
      <c r="BA330" t="s">
        <v>74</v>
      </c>
      <c r="BB330">
        <v>339</v>
      </c>
      <c r="BC330">
        <v>345</v>
      </c>
      <c r="BD330" t="s">
        <v>74</v>
      </c>
      <c r="BE330" t="s">
        <v>4667</v>
      </c>
      <c r="BF330" t="str">
        <f>HYPERLINK("http://dx.doi.org/10.1078/0944-2006-00039","http://dx.doi.org/10.1078/0944-2006-00039")</f>
        <v>http://dx.doi.org/10.1078/0944-2006-00039</v>
      </c>
      <c r="BG330" t="s">
        <v>74</v>
      </c>
      <c r="BH330" t="s">
        <v>74</v>
      </c>
      <c r="BI330">
        <v>7</v>
      </c>
      <c r="BJ330" t="s">
        <v>206</v>
      </c>
      <c r="BK330" t="s">
        <v>596</v>
      </c>
      <c r="BL330" t="s">
        <v>206</v>
      </c>
      <c r="BM330" t="s">
        <v>4655</v>
      </c>
      <c r="BN330">
        <v>16351848</v>
      </c>
      <c r="BO330" t="s">
        <v>74</v>
      </c>
      <c r="BP330" t="s">
        <v>74</v>
      </c>
      <c r="BQ330" t="s">
        <v>74</v>
      </c>
      <c r="BR330" t="s">
        <v>97</v>
      </c>
      <c r="BS330" t="s">
        <v>4668</v>
      </c>
      <c r="BT330" t="str">
        <f>HYPERLINK("https%3A%2F%2Fwww.webofscience.com%2Fwos%2Fwoscc%2Ffull-record%2FWOS:000174431600019","View Full Record in Web of Science")</f>
        <v>View Full Record in Web of Science</v>
      </c>
    </row>
    <row r="331" spans="1:72" x14ac:dyDescent="0.15">
      <c r="A331" t="s">
        <v>72</v>
      </c>
      <c r="B331" t="s">
        <v>4669</v>
      </c>
      <c r="C331" t="s">
        <v>74</v>
      </c>
      <c r="D331" t="s">
        <v>74</v>
      </c>
      <c r="E331" t="s">
        <v>74</v>
      </c>
      <c r="F331" t="s">
        <v>4669</v>
      </c>
      <c r="G331" t="s">
        <v>74</v>
      </c>
      <c r="H331" t="s">
        <v>74</v>
      </c>
      <c r="I331" t="s">
        <v>4670</v>
      </c>
      <c r="J331" t="s">
        <v>4671</v>
      </c>
      <c r="K331" t="s">
        <v>74</v>
      </c>
      <c r="L331" t="s">
        <v>74</v>
      </c>
      <c r="M331" t="s">
        <v>77</v>
      </c>
      <c r="N331" t="s">
        <v>78</v>
      </c>
      <c r="O331" t="s">
        <v>74</v>
      </c>
      <c r="P331" t="s">
        <v>74</v>
      </c>
      <c r="Q331" t="s">
        <v>74</v>
      </c>
      <c r="R331" t="s">
        <v>74</v>
      </c>
      <c r="S331" t="s">
        <v>74</v>
      </c>
      <c r="T331" t="s">
        <v>4672</v>
      </c>
      <c r="U331" t="s">
        <v>4673</v>
      </c>
      <c r="V331" t="s">
        <v>4674</v>
      </c>
      <c r="W331" t="s">
        <v>4675</v>
      </c>
      <c r="X331" t="s">
        <v>4676</v>
      </c>
      <c r="Y331" t="s">
        <v>4677</v>
      </c>
      <c r="Z331" t="s">
        <v>4678</v>
      </c>
      <c r="AA331" t="s">
        <v>74</v>
      </c>
      <c r="AB331" t="s">
        <v>4679</v>
      </c>
      <c r="AC331" t="s">
        <v>74</v>
      </c>
      <c r="AD331" t="s">
        <v>74</v>
      </c>
      <c r="AE331" t="s">
        <v>74</v>
      </c>
      <c r="AF331" t="s">
        <v>74</v>
      </c>
      <c r="AG331">
        <v>28</v>
      </c>
      <c r="AH331">
        <v>75</v>
      </c>
      <c r="AI331">
        <v>79</v>
      </c>
      <c r="AJ331">
        <v>1</v>
      </c>
      <c r="AK331">
        <v>21</v>
      </c>
      <c r="AL331" t="s">
        <v>1823</v>
      </c>
      <c r="AM331" t="s">
        <v>1121</v>
      </c>
      <c r="AN331" t="s">
        <v>1824</v>
      </c>
      <c r="AO331" t="s">
        <v>4680</v>
      </c>
      <c r="AP331" t="s">
        <v>4681</v>
      </c>
      <c r="AQ331" t="s">
        <v>74</v>
      </c>
      <c r="AR331" t="s">
        <v>4682</v>
      </c>
      <c r="AS331" t="s">
        <v>4683</v>
      </c>
      <c r="AT331" t="s">
        <v>4684</v>
      </c>
      <c r="AU331">
        <v>2000</v>
      </c>
      <c r="AV331">
        <v>184</v>
      </c>
      <c r="AW331">
        <v>1</v>
      </c>
      <c r="AX331" t="s">
        <v>74</v>
      </c>
      <c r="AY331" t="s">
        <v>74</v>
      </c>
      <c r="AZ331" t="s">
        <v>74</v>
      </c>
      <c r="BA331" t="s">
        <v>74</v>
      </c>
      <c r="BB331">
        <v>1</v>
      </c>
      <c r="BC331">
        <v>7</v>
      </c>
      <c r="BD331" t="s">
        <v>74</v>
      </c>
      <c r="BE331" t="s">
        <v>4685</v>
      </c>
      <c r="BF331" t="str">
        <f>HYPERLINK("http://dx.doi.org/10.1016/S0012-821X(00)00316-2","http://dx.doi.org/10.1016/S0012-821X(00)00316-2")</f>
        <v>http://dx.doi.org/10.1016/S0012-821X(00)00316-2</v>
      </c>
      <c r="BG331" t="s">
        <v>74</v>
      </c>
      <c r="BH331" t="s">
        <v>74</v>
      </c>
      <c r="BI331">
        <v>7</v>
      </c>
      <c r="BJ331" t="s">
        <v>953</v>
      </c>
      <c r="BK331" t="s">
        <v>94</v>
      </c>
      <c r="BL331" t="s">
        <v>953</v>
      </c>
      <c r="BM331" t="s">
        <v>4686</v>
      </c>
      <c r="BN331" t="s">
        <v>74</v>
      </c>
      <c r="BO331" t="s">
        <v>74</v>
      </c>
      <c r="BP331" t="s">
        <v>74</v>
      </c>
      <c r="BQ331" t="s">
        <v>74</v>
      </c>
      <c r="BR331" t="s">
        <v>97</v>
      </c>
      <c r="BS331" t="s">
        <v>4687</v>
      </c>
      <c r="BT331" t="str">
        <f>HYPERLINK("https%3A%2F%2Fwww.webofscience.com%2Fwos%2Fwoscc%2Ffull-record%2FWOS:000166335500001","View Full Record in Web of Science")</f>
        <v>View Full Record in Web of Science</v>
      </c>
    </row>
    <row r="332" spans="1:72" x14ac:dyDescent="0.15">
      <c r="A332" t="s">
        <v>72</v>
      </c>
      <c r="B332" t="s">
        <v>4688</v>
      </c>
      <c r="C332" t="s">
        <v>74</v>
      </c>
      <c r="D332" t="s">
        <v>74</v>
      </c>
      <c r="E332" t="s">
        <v>74</v>
      </c>
      <c r="F332" t="s">
        <v>4688</v>
      </c>
      <c r="G332" t="s">
        <v>74</v>
      </c>
      <c r="H332" t="s">
        <v>74</v>
      </c>
      <c r="I332" t="s">
        <v>4689</v>
      </c>
      <c r="J332" t="s">
        <v>4671</v>
      </c>
      <c r="K332" t="s">
        <v>74</v>
      </c>
      <c r="L332" t="s">
        <v>74</v>
      </c>
      <c r="M332" t="s">
        <v>77</v>
      </c>
      <c r="N332" t="s">
        <v>78</v>
      </c>
      <c r="O332" t="s">
        <v>74</v>
      </c>
      <c r="P332" t="s">
        <v>74</v>
      </c>
      <c r="Q332" t="s">
        <v>74</v>
      </c>
      <c r="R332" t="s">
        <v>74</v>
      </c>
      <c r="S332" t="s">
        <v>74</v>
      </c>
      <c r="T332" t="s">
        <v>4690</v>
      </c>
      <c r="U332" t="s">
        <v>4691</v>
      </c>
      <c r="V332" t="s">
        <v>4692</v>
      </c>
      <c r="W332" t="s">
        <v>4693</v>
      </c>
      <c r="X332" t="s">
        <v>4694</v>
      </c>
      <c r="Y332" t="s">
        <v>4695</v>
      </c>
      <c r="Z332" t="s">
        <v>74</v>
      </c>
      <c r="AA332" t="s">
        <v>4696</v>
      </c>
      <c r="AB332" t="s">
        <v>74</v>
      </c>
      <c r="AC332" t="s">
        <v>74</v>
      </c>
      <c r="AD332" t="s">
        <v>74</v>
      </c>
      <c r="AE332" t="s">
        <v>74</v>
      </c>
      <c r="AF332" t="s">
        <v>74</v>
      </c>
      <c r="AG332">
        <v>31</v>
      </c>
      <c r="AH332">
        <v>61</v>
      </c>
      <c r="AI332">
        <v>68</v>
      </c>
      <c r="AJ332">
        <v>0</v>
      </c>
      <c r="AK332">
        <v>11</v>
      </c>
      <c r="AL332" t="s">
        <v>1120</v>
      </c>
      <c r="AM332" t="s">
        <v>1121</v>
      </c>
      <c r="AN332" t="s">
        <v>2394</v>
      </c>
      <c r="AO332" t="s">
        <v>4680</v>
      </c>
      <c r="AP332" t="s">
        <v>74</v>
      </c>
      <c r="AQ332" t="s">
        <v>74</v>
      </c>
      <c r="AR332" t="s">
        <v>4682</v>
      </c>
      <c r="AS332" t="s">
        <v>4683</v>
      </c>
      <c r="AT332" t="s">
        <v>4684</v>
      </c>
      <c r="AU332">
        <v>2000</v>
      </c>
      <c r="AV332">
        <v>184</v>
      </c>
      <c r="AW332">
        <v>1</v>
      </c>
      <c r="AX332" t="s">
        <v>74</v>
      </c>
      <c r="AY332" t="s">
        <v>74</v>
      </c>
      <c r="AZ332" t="s">
        <v>74</v>
      </c>
      <c r="BA332" t="s">
        <v>74</v>
      </c>
      <c r="BB332">
        <v>241</v>
      </c>
      <c r="BC332">
        <v>250</v>
      </c>
      <c r="BD332" t="s">
        <v>74</v>
      </c>
      <c r="BE332" t="s">
        <v>4697</v>
      </c>
      <c r="BF332" t="str">
        <f>HYPERLINK("http://dx.doi.org/10.1016/S0012-821X(00)00319-8","http://dx.doi.org/10.1016/S0012-821X(00)00319-8")</f>
        <v>http://dx.doi.org/10.1016/S0012-821X(00)00319-8</v>
      </c>
      <c r="BG332" t="s">
        <v>74</v>
      </c>
      <c r="BH332" t="s">
        <v>74</v>
      </c>
      <c r="BI332">
        <v>10</v>
      </c>
      <c r="BJ332" t="s">
        <v>953</v>
      </c>
      <c r="BK332" t="s">
        <v>94</v>
      </c>
      <c r="BL332" t="s">
        <v>953</v>
      </c>
      <c r="BM332" t="s">
        <v>4686</v>
      </c>
      <c r="BN332" t="s">
        <v>74</v>
      </c>
      <c r="BO332" t="s">
        <v>74</v>
      </c>
      <c r="BP332" t="s">
        <v>74</v>
      </c>
      <c r="BQ332" t="s">
        <v>74</v>
      </c>
      <c r="BR332" t="s">
        <v>97</v>
      </c>
      <c r="BS332" t="s">
        <v>4698</v>
      </c>
      <c r="BT332" t="str">
        <f>HYPERLINK("https%3A%2F%2Fwww.webofscience.com%2Fwos%2Fwoscc%2Ffull-record%2FWOS:000166335500018","View Full Record in Web of Science")</f>
        <v>View Full Record in Web of Science</v>
      </c>
    </row>
    <row r="333" spans="1:72" x14ac:dyDescent="0.15">
      <c r="A333" t="s">
        <v>72</v>
      </c>
      <c r="B333" t="s">
        <v>4699</v>
      </c>
      <c r="C333" t="s">
        <v>74</v>
      </c>
      <c r="D333" t="s">
        <v>74</v>
      </c>
      <c r="E333" t="s">
        <v>74</v>
      </c>
      <c r="F333" t="s">
        <v>4699</v>
      </c>
      <c r="G333" t="s">
        <v>74</v>
      </c>
      <c r="H333" t="s">
        <v>74</v>
      </c>
      <c r="I333" t="s">
        <v>4700</v>
      </c>
      <c r="J333" t="s">
        <v>4701</v>
      </c>
      <c r="K333" t="s">
        <v>74</v>
      </c>
      <c r="L333" t="s">
        <v>74</v>
      </c>
      <c r="M333" t="s">
        <v>77</v>
      </c>
      <c r="N333" t="s">
        <v>78</v>
      </c>
      <c r="O333" t="s">
        <v>74</v>
      </c>
      <c r="P333" t="s">
        <v>74</v>
      </c>
      <c r="Q333" t="s">
        <v>74</v>
      </c>
      <c r="R333" t="s">
        <v>74</v>
      </c>
      <c r="S333" t="s">
        <v>74</v>
      </c>
      <c r="T333" t="s">
        <v>4702</v>
      </c>
      <c r="U333" t="s">
        <v>4703</v>
      </c>
      <c r="V333" t="s">
        <v>4704</v>
      </c>
      <c r="W333" t="s">
        <v>4705</v>
      </c>
      <c r="X333" t="s">
        <v>4706</v>
      </c>
      <c r="Y333" t="s">
        <v>4707</v>
      </c>
      <c r="Z333" t="s">
        <v>4708</v>
      </c>
      <c r="AA333" t="s">
        <v>4709</v>
      </c>
      <c r="AB333" t="s">
        <v>4710</v>
      </c>
      <c r="AC333" t="s">
        <v>74</v>
      </c>
      <c r="AD333" t="s">
        <v>74</v>
      </c>
      <c r="AE333" t="s">
        <v>74</v>
      </c>
      <c r="AF333" t="s">
        <v>74</v>
      </c>
      <c r="AG333">
        <v>28</v>
      </c>
      <c r="AH333">
        <v>33</v>
      </c>
      <c r="AI333">
        <v>34</v>
      </c>
      <c r="AJ333">
        <v>1</v>
      </c>
      <c r="AK333">
        <v>7</v>
      </c>
      <c r="AL333" t="s">
        <v>1120</v>
      </c>
      <c r="AM333" t="s">
        <v>1121</v>
      </c>
      <c r="AN333" t="s">
        <v>2394</v>
      </c>
      <c r="AO333" t="s">
        <v>4711</v>
      </c>
      <c r="AP333" t="s">
        <v>4712</v>
      </c>
      <c r="AQ333" t="s">
        <v>74</v>
      </c>
      <c r="AR333" t="s">
        <v>4701</v>
      </c>
      <c r="AS333" t="s">
        <v>4713</v>
      </c>
      <c r="AT333" t="s">
        <v>4684</v>
      </c>
      <c r="AU333">
        <v>2000</v>
      </c>
      <c r="AV333">
        <v>260</v>
      </c>
      <c r="AW333" t="s">
        <v>870</v>
      </c>
      <c r="AX333" t="s">
        <v>74</v>
      </c>
      <c r="AY333" t="s">
        <v>74</v>
      </c>
      <c r="AZ333" t="s">
        <v>74</v>
      </c>
      <c r="BA333" t="s">
        <v>74</v>
      </c>
      <c r="BB333">
        <v>67</v>
      </c>
      <c r="BC333">
        <v>75</v>
      </c>
      <c r="BD333" t="s">
        <v>74</v>
      </c>
      <c r="BE333" t="s">
        <v>4714</v>
      </c>
      <c r="BF333" t="str">
        <f>HYPERLINK("http://dx.doi.org/10.1016/S0378-1119(00)00469-8","http://dx.doi.org/10.1016/S0378-1119(00)00469-8")</f>
        <v>http://dx.doi.org/10.1016/S0378-1119(00)00469-8</v>
      </c>
      <c r="BG333" t="s">
        <v>74</v>
      </c>
      <c r="BH333" t="s">
        <v>74</v>
      </c>
      <c r="BI333">
        <v>9</v>
      </c>
      <c r="BJ333" t="s">
        <v>4715</v>
      </c>
      <c r="BK333" t="s">
        <v>94</v>
      </c>
      <c r="BL333" t="s">
        <v>4715</v>
      </c>
      <c r="BM333" t="s">
        <v>4716</v>
      </c>
      <c r="BN333">
        <v>11137292</v>
      </c>
      <c r="BO333" t="s">
        <v>74</v>
      </c>
      <c r="BP333" t="s">
        <v>74</v>
      </c>
      <c r="BQ333" t="s">
        <v>74</v>
      </c>
      <c r="BR333" t="s">
        <v>97</v>
      </c>
      <c r="BS333" t="s">
        <v>4717</v>
      </c>
      <c r="BT333" t="str">
        <f>HYPERLINK("https%3A%2F%2Fwww.webofscience.com%2Fwos%2Fwoscc%2Ffull-record%2FWOS:000166141200007","View Full Record in Web of Science")</f>
        <v>View Full Record in Web of Science</v>
      </c>
    </row>
    <row r="334" spans="1:72" x14ac:dyDescent="0.15">
      <c r="A334" t="s">
        <v>72</v>
      </c>
      <c r="B334" t="s">
        <v>4718</v>
      </c>
      <c r="C334" t="s">
        <v>74</v>
      </c>
      <c r="D334" t="s">
        <v>74</v>
      </c>
      <c r="E334" t="s">
        <v>74</v>
      </c>
      <c r="F334" t="s">
        <v>4718</v>
      </c>
      <c r="G334" t="s">
        <v>74</v>
      </c>
      <c r="H334" t="s">
        <v>74</v>
      </c>
      <c r="I334" t="s">
        <v>4719</v>
      </c>
      <c r="J334" t="s">
        <v>4720</v>
      </c>
      <c r="K334" t="s">
        <v>74</v>
      </c>
      <c r="L334" t="s">
        <v>74</v>
      </c>
      <c r="M334" t="s">
        <v>77</v>
      </c>
      <c r="N334" t="s">
        <v>236</v>
      </c>
      <c r="O334" t="s">
        <v>74</v>
      </c>
      <c r="P334" t="s">
        <v>74</v>
      </c>
      <c r="Q334" t="s">
        <v>74</v>
      </c>
      <c r="R334" t="s">
        <v>74</v>
      </c>
      <c r="S334" t="s">
        <v>74</v>
      </c>
      <c r="T334" t="s">
        <v>4721</v>
      </c>
      <c r="U334" t="s">
        <v>4722</v>
      </c>
      <c r="V334" t="s">
        <v>4723</v>
      </c>
      <c r="W334" t="s">
        <v>4724</v>
      </c>
      <c r="X334" t="s">
        <v>4725</v>
      </c>
      <c r="Y334" t="s">
        <v>4726</v>
      </c>
      <c r="Z334" t="s">
        <v>74</v>
      </c>
      <c r="AA334" t="s">
        <v>74</v>
      </c>
      <c r="AB334" t="s">
        <v>74</v>
      </c>
      <c r="AC334" t="s">
        <v>74</v>
      </c>
      <c r="AD334" t="s">
        <v>74</v>
      </c>
      <c r="AE334" t="s">
        <v>74</v>
      </c>
      <c r="AF334" t="s">
        <v>74</v>
      </c>
      <c r="AG334">
        <v>90</v>
      </c>
      <c r="AH334">
        <v>69</v>
      </c>
      <c r="AI334">
        <v>73</v>
      </c>
      <c r="AJ334">
        <v>2</v>
      </c>
      <c r="AK334">
        <v>44</v>
      </c>
      <c r="AL334" t="s">
        <v>1120</v>
      </c>
      <c r="AM334" t="s">
        <v>1121</v>
      </c>
      <c r="AN334" t="s">
        <v>2394</v>
      </c>
      <c r="AO334" t="s">
        <v>4727</v>
      </c>
      <c r="AP334" t="s">
        <v>74</v>
      </c>
      <c r="AQ334" t="s">
        <v>74</v>
      </c>
      <c r="AR334" t="s">
        <v>4728</v>
      </c>
      <c r="AS334" t="s">
        <v>4729</v>
      </c>
      <c r="AT334" t="s">
        <v>4730</v>
      </c>
      <c r="AU334">
        <v>2000</v>
      </c>
      <c r="AV334">
        <v>1543</v>
      </c>
      <c r="AW334">
        <v>2</v>
      </c>
      <c r="AX334" t="s">
        <v>74</v>
      </c>
      <c r="AY334" t="s">
        <v>74</v>
      </c>
      <c r="AZ334" t="s">
        <v>2736</v>
      </c>
      <c r="BA334" t="s">
        <v>74</v>
      </c>
      <c r="BB334">
        <v>417</v>
      </c>
      <c r="BC334">
        <v>433</v>
      </c>
      <c r="BD334" t="s">
        <v>74</v>
      </c>
      <c r="BE334" t="s">
        <v>4731</v>
      </c>
      <c r="BF334" t="str">
        <f>HYPERLINK("http://dx.doi.org/10.1016/S0167-4838(00)00237-5","http://dx.doi.org/10.1016/S0167-4838(00)00237-5")</f>
        <v>http://dx.doi.org/10.1016/S0167-4838(00)00237-5</v>
      </c>
      <c r="BG334" t="s">
        <v>74</v>
      </c>
      <c r="BH334" t="s">
        <v>74</v>
      </c>
      <c r="BI334">
        <v>17</v>
      </c>
      <c r="BJ334" t="s">
        <v>4732</v>
      </c>
      <c r="BK334" t="s">
        <v>94</v>
      </c>
      <c r="BL334" t="s">
        <v>4732</v>
      </c>
      <c r="BM334" t="s">
        <v>4733</v>
      </c>
      <c r="BN334">
        <v>11150617</v>
      </c>
      <c r="BO334" t="s">
        <v>74</v>
      </c>
      <c r="BP334" t="s">
        <v>74</v>
      </c>
      <c r="BQ334" t="s">
        <v>74</v>
      </c>
      <c r="BR334" t="s">
        <v>97</v>
      </c>
      <c r="BS334" t="s">
        <v>4734</v>
      </c>
      <c r="BT334" t="str">
        <f>HYPERLINK("https%3A%2F%2Fwww.webofscience.com%2Fwos%2Fwoscc%2Ffull-record%2FWOS:000166500900012","View Full Record in Web of Science")</f>
        <v>View Full Record in Web of Science</v>
      </c>
    </row>
    <row r="335" spans="1:72" x14ac:dyDescent="0.15">
      <c r="A335" t="s">
        <v>72</v>
      </c>
      <c r="B335" t="s">
        <v>4735</v>
      </c>
      <c r="C335" t="s">
        <v>74</v>
      </c>
      <c r="D335" t="s">
        <v>74</v>
      </c>
      <c r="E335" t="s">
        <v>74</v>
      </c>
      <c r="F335" t="s">
        <v>4735</v>
      </c>
      <c r="G335" t="s">
        <v>74</v>
      </c>
      <c r="H335" t="s">
        <v>74</v>
      </c>
      <c r="I335" t="s">
        <v>4736</v>
      </c>
      <c r="J335" t="s">
        <v>4737</v>
      </c>
      <c r="K335" t="s">
        <v>74</v>
      </c>
      <c r="L335" t="s">
        <v>74</v>
      </c>
      <c r="M335" t="s">
        <v>77</v>
      </c>
      <c r="N335" t="s">
        <v>78</v>
      </c>
      <c r="O335" t="s">
        <v>74</v>
      </c>
      <c r="P335" t="s">
        <v>74</v>
      </c>
      <c r="Q335" t="s">
        <v>74</v>
      </c>
      <c r="R335" t="s">
        <v>74</v>
      </c>
      <c r="S335" t="s">
        <v>74</v>
      </c>
      <c r="T335" t="s">
        <v>74</v>
      </c>
      <c r="U335" t="s">
        <v>4738</v>
      </c>
      <c r="V335" t="s">
        <v>4739</v>
      </c>
      <c r="W335" t="s">
        <v>2520</v>
      </c>
      <c r="X335" t="s">
        <v>2521</v>
      </c>
      <c r="Y335" t="s">
        <v>4740</v>
      </c>
      <c r="Z335" t="s">
        <v>74</v>
      </c>
      <c r="AA335" t="s">
        <v>74</v>
      </c>
      <c r="AB335" t="s">
        <v>74</v>
      </c>
      <c r="AC335" t="s">
        <v>74</v>
      </c>
      <c r="AD335" t="s">
        <v>74</v>
      </c>
      <c r="AE335" t="s">
        <v>74</v>
      </c>
      <c r="AF335" t="s">
        <v>74</v>
      </c>
      <c r="AG335">
        <v>45</v>
      </c>
      <c r="AH335">
        <v>22</v>
      </c>
      <c r="AI335">
        <v>24</v>
      </c>
      <c r="AJ335">
        <v>0</v>
      </c>
      <c r="AK335">
        <v>4</v>
      </c>
      <c r="AL335" t="s">
        <v>4741</v>
      </c>
      <c r="AM335" t="s">
        <v>1060</v>
      </c>
      <c r="AN335" t="s">
        <v>4742</v>
      </c>
      <c r="AO335" t="s">
        <v>4743</v>
      </c>
      <c r="AP335" t="s">
        <v>4744</v>
      </c>
      <c r="AQ335" t="s">
        <v>74</v>
      </c>
      <c r="AR335" t="s">
        <v>4745</v>
      </c>
      <c r="AS335" t="s">
        <v>4746</v>
      </c>
      <c r="AT335" t="s">
        <v>4730</v>
      </c>
      <c r="AU335">
        <v>2000</v>
      </c>
      <c r="AV335">
        <v>113</v>
      </c>
      <c r="AW335">
        <v>4</v>
      </c>
      <c r="AX335" t="s">
        <v>74</v>
      </c>
      <c r="AY335" t="s">
        <v>74</v>
      </c>
      <c r="AZ335" t="s">
        <v>74</v>
      </c>
      <c r="BA335" t="s">
        <v>74</v>
      </c>
      <c r="BB335">
        <v>1015</v>
      </c>
      <c r="BC335">
        <v>1063</v>
      </c>
      <c r="BD335" t="s">
        <v>74</v>
      </c>
      <c r="BE335" t="s">
        <v>74</v>
      </c>
      <c r="BF335" t="s">
        <v>74</v>
      </c>
      <c r="BG335" t="s">
        <v>74</v>
      </c>
      <c r="BH335" t="s">
        <v>74</v>
      </c>
      <c r="BI335">
        <v>49</v>
      </c>
      <c r="BJ335" t="s">
        <v>3757</v>
      </c>
      <c r="BK335" t="s">
        <v>94</v>
      </c>
      <c r="BL335" t="s">
        <v>3758</v>
      </c>
      <c r="BM335" t="s">
        <v>4747</v>
      </c>
      <c r="BN335" t="s">
        <v>74</v>
      </c>
      <c r="BO335" t="s">
        <v>74</v>
      </c>
      <c r="BP335" t="s">
        <v>74</v>
      </c>
      <c r="BQ335" t="s">
        <v>74</v>
      </c>
      <c r="BR335" t="s">
        <v>97</v>
      </c>
      <c r="BS335" t="s">
        <v>4748</v>
      </c>
      <c r="BT335" t="str">
        <f>HYPERLINK("https%3A%2F%2Fwww.webofscience.com%2Fwos%2Fwoscc%2Ffull-record%2FWOS:000166265200017","View Full Record in Web of Science")</f>
        <v>View Full Record in Web of Science</v>
      </c>
    </row>
    <row r="336" spans="1:72" x14ac:dyDescent="0.15">
      <c r="A336" t="s">
        <v>72</v>
      </c>
      <c r="B336" t="s">
        <v>4749</v>
      </c>
      <c r="C336" t="s">
        <v>74</v>
      </c>
      <c r="D336" t="s">
        <v>74</v>
      </c>
      <c r="E336" t="s">
        <v>74</v>
      </c>
      <c r="F336" t="s">
        <v>4750</v>
      </c>
      <c r="G336" t="s">
        <v>74</v>
      </c>
      <c r="H336" t="s">
        <v>74</v>
      </c>
      <c r="I336" t="s">
        <v>4751</v>
      </c>
      <c r="J336" t="s">
        <v>4752</v>
      </c>
      <c r="K336" t="s">
        <v>74</v>
      </c>
      <c r="L336" t="s">
        <v>74</v>
      </c>
      <c r="M336" t="s">
        <v>77</v>
      </c>
      <c r="N336" t="s">
        <v>78</v>
      </c>
      <c r="O336" t="s">
        <v>74</v>
      </c>
      <c r="P336" t="s">
        <v>74</v>
      </c>
      <c r="Q336" t="s">
        <v>74</v>
      </c>
      <c r="R336" t="s">
        <v>74</v>
      </c>
      <c r="S336" t="s">
        <v>74</v>
      </c>
      <c r="T336" t="s">
        <v>4753</v>
      </c>
      <c r="U336" t="s">
        <v>74</v>
      </c>
      <c r="V336" t="s">
        <v>4754</v>
      </c>
      <c r="W336" t="s">
        <v>4755</v>
      </c>
      <c r="X336" t="s">
        <v>4756</v>
      </c>
      <c r="Y336" t="s">
        <v>4757</v>
      </c>
      <c r="Z336" t="s">
        <v>4758</v>
      </c>
      <c r="AA336" t="s">
        <v>4759</v>
      </c>
      <c r="AB336" t="s">
        <v>4760</v>
      </c>
      <c r="AC336" t="s">
        <v>4761</v>
      </c>
      <c r="AD336" t="s">
        <v>4762</v>
      </c>
      <c r="AE336" t="s">
        <v>4763</v>
      </c>
      <c r="AF336" t="s">
        <v>74</v>
      </c>
      <c r="AG336">
        <v>42</v>
      </c>
      <c r="AH336">
        <v>7</v>
      </c>
      <c r="AI336">
        <v>7</v>
      </c>
      <c r="AJ336">
        <v>0</v>
      </c>
      <c r="AK336">
        <v>4</v>
      </c>
      <c r="AL336" t="s">
        <v>1059</v>
      </c>
      <c r="AM336" t="s">
        <v>1060</v>
      </c>
      <c r="AN336" t="s">
        <v>1061</v>
      </c>
      <c r="AO336" t="s">
        <v>4764</v>
      </c>
      <c r="AP336" t="s">
        <v>74</v>
      </c>
      <c r="AQ336" t="s">
        <v>74</v>
      </c>
      <c r="AR336" t="s">
        <v>4765</v>
      </c>
      <c r="AS336" t="s">
        <v>4766</v>
      </c>
      <c r="AT336" t="s">
        <v>4767</v>
      </c>
      <c r="AU336">
        <v>2000</v>
      </c>
      <c r="AV336">
        <v>1</v>
      </c>
      <c r="AW336" t="s">
        <v>74</v>
      </c>
      <c r="AX336" t="s">
        <v>74</v>
      </c>
      <c r="AY336" t="s">
        <v>74</v>
      </c>
      <c r="AZ336" t="s">
        <v>74</v>
      </c>
      <c r="BA336" t="s">
        <v>74</v>
      </c>
      <c r="BB336" t="s">
        <v>74</v>
      </c>
      <c r="BC336" t="s">
        <v>74</v>
      </c>
      <c r="BD336" t="s">
        <v>74</v>
      </c>
      <c r="BE336" t="s">
        <v>74</v>
      </c>
      <c r="BF336" t="s">
        <v>74</v>
      </c>
      <c r="BG336" t="s">
        <v>74</v>
      </c>
      <c r="BH336" t="s">
        <v>74</v>
      </c>
      <c r="BI336">
        <v>17</v>
      </c>
      <c r="BJ336" t="s">
        <v>953</v>
      </c>
      <c r="BK336" t="s">
        <v>94</v>
      </c>
      <c r="BL336" t="s">
        <v>953</v>
      </c>
      <c r="BM336" t="s">
        <v>4768</v>
      </c>
      <c r="BN336" t="s">
        <v>74</v>
      </c>
      <c r="BO336" t="s">
        <v>74</v>
      </c>
      <c r="BP336" t="s">
        <v>74</v>
      </c>
      <c r="BQ336" t="s">
        <v>74</v>
      </c>
      <c r="BR336" t="s">
        <v>97</v>
      </c>
      <c r="BS336" t="s">
        <v>4769</v>
      </c>
      <c r="BT336" t="str">
        <f>HYPERLINK("https%3A%2F%2Fwww.webofscience.com%2Fwos%2Fwoscc%2Ffull-record%2FWOS:000208274000001","View Full Record in Web of Science")</f>
        <v>View Full Record in Web of Science</v>
      </c>
    </row>
    <row r="337" spans="1:72" x14ac:dyDescent="0.15">
      <c r="A337" t="s">
        <v>72</v>
      </c>
      <c r="B337" t="s">
        <v>4770</v>
      </c>
      <c r="C337" t="s">
        <v>74</v>
      </c>
      <c r="D337" t="s">
        <v>74</v>
      </c>
      <c r="E337" t="s">
        <v>74</v>
      </c>
      <c r="F337" t="s">
        <v>4770</v>
      </c>
      <c r="G337" t="s">
        <v>74</v>
      </c>
      <c r="H337" t="s">
        <v>74</v>
      </c>
      <c r="I337" t="s">
        <v>4771</v>
      </c>
      <c r="J337" t="s">
        <v>4772</v>
      </c>
      <c r="K337" t="s">
        <v>74</v>
      </c>
      <c r="L337" t="s">
        <v>74</v>
      </c>
      <c r="M337" t="s">
        <v>77</v>
      </c>
      <c r="N337" t="s">
        <v>78</v>
      </c>
      <c r="O337" t="s">
        <v>74</v>
      </c>
      <c r="P337" t="s">
        <v>74</v>
      </c>
      <c r="Q337" t="s">
        <v>74</v>
      </c>
      <c r="R337" t="s">
        <v>74</v>
      </c>
      <c r="S337" t="s">
        <v>74</v>
      </c>
      <c r="T337" t="s">
        <v>74</v>
      </c>
      <c r="U337" t="s">
        <v>4773</v>
      </c>
      <c r="V337" t="s">
        <v>4774</v>
      </c>
      <c r="W337" t="s">
        <v>4775</v>
      </c>
      <c r="X337" t="s">
        <v>4776</v>
      </c>
      <c r="Y337" t="s">
        <v>4777</v>
      </c>
      <c r="Z337" t="s">
        <v>74</v>
      </c>
      <c r="AA337" t="s">
        <v>4778</v>
      </c>
      <c r="AB337" t="s">
        <v>4779</v>
      </c>
      <c r="AC337" t="s">
        <v>74</v>
      </c>
      <c r="AD337" t="s">
        <v>74</v>
      </c>
      <c r="AE337" t="s">
        <v>74</v>
      </c>
      <c r="AF337" t="s">
        <v>74</v>
      </c>
      <c r="AG337">
        <v>44</v>
      </c>
      <c r="AH337">
        <v>46</v>
      </c>
      <c r="AI337">
        <v>50</v>
      </c>
      <c r="AJ337">
        <v>0</v>
      </c>
      <c r="AK337">
        <v>10</v>
      </c>
      <c r="AL337" t="s">
        <v>1059</v>
      </c>
      <c r="AM337" t="s">
        <v>1060</v>
      </c>
      <c r="AN337" t="s">
        <v>1061</v>
      </c>
      <c r="AO337" t="s">
        <v>4780</v>
      </c>
      <c r="AP337" t="s">
        <v>74</v>
      </c>
      <c r="AQ337" t="s">
        <v>74</v>
      </c>
      <c r="AR337" t="s">
        <v>4781</v>
      </c>
      <c r="AS337" t="s">
        <v>4782</v>
      </c>
      <c r="AT337" t="s">
        <v>4783</v>
      </c>
      <c r="AU337">
        <v>2000</v>
      </c>
      <c r="AV337">
        <v>105</v>
      </c>
      <c r="AW337" t="s">
        <v>4784</v>
      </c>
      <c r="AX337" t="s">
        <v>74</v>
      </c>
      <c r="AY337" t="s">
        <v>74</v>
      </c>
      <c r="AZ337" t="s">
        <v>74</v>
      </c>
      <c r="BA337" t="s">
        <v>74</v>
      </c>
      <c r="BB337">
        <v>29411</v>
      </c>
      <c r="BC337">
        <v>29421</v>
      </c>
      <c r="BD337" t="s">
        <v>74</v>
      </c>
      <c r="BE337" t="s">
        <v>4785</v>
      </c>
      <c r="BF337" t="str">
        <f>HYPERLINK("http://dx.doi.org/10.1029/2000JD900449","http://dx.doi.org/10.1029/2000JD900449")</f>
        <v>http://dx.doi.org/10.1029/2000JD900449</v>
      </c>
      <c r="BG337" t="s">
        <v>74</v>
      </c>
      <c r="BH337" t="s">
        <v>74</v>
      </c>
      <c r="BI337">
        <v>11</v>
      </c>
      <c r="BJ337" t="s">
        <v>167</v>
      </c>
      <c r="BK337" t="s">
        <v>94</v>
      </c>
      <c r="BL337" t="s">
        <v>167</v>
      </c>
      <c r="BM337" t="s">
        <v>4786</v>
      </c>
      <c r="BN337" t="s">
        <v>74</v>
      </c>
      <c r="BO337" t="s">
        <v>4787</v>
      </c>
      <c r="BP337" t="s">
        <v>74</v>
      </c>
      <c r="BQ337" t="s">
        <v>74</v>
      </c>
      <c r="BR337" t="s">
        <v>97</v>
      </c>
      <c r="BS337" t="s">
        <v>4788</v>
      </c>
      <c r="BT337" t="str">
        <f>HYPERLINK("https%3A%2F%2Fwww.webofscience.com%2Fwos%2Fwoscc%2Ffull-record%2FWOS:000166358500009","View Full Record in Web of Science")</f>
        <v>View Full Record in Web of Science</v>
      </c>
    </row>
    <row r="338" spans="1:72" x14ac:dyDescent="0.15">
      <c r="A338" t="s">
        <v>72</v>
      </c>
      <c r="B338" t="s">
        <v>4789</v>
      </c>
      <c r="C338" t="s">
        <v>74</v>
      </c>
      <c r="D338" t="s">
        <v>74</v>
      </c>
      <c r="E338" t="s">
        <v>74</v>
      </c>
      <c r="F338" t="s">
        <v>4789</v>
      </c>
      <c r="G338" t="s">
        <v>74</v>
      </c>
      <c r="H338" t="s">
        <v>74</v>
      </c>
      <c r="I338" t="s">
        <v>4790</v>
      </c>
      <c r="J338" t="s">
        <v>4772</v>
      </c>
      <c r="K338" t="s">
        <v>74</v>
      </c>
      <c r="L338" t="s">
        <v>74</v>
      </c>
      <c r="M338" t="s">
        <v>77</v>
      </c>
      <c r="N338" t="s">
        <v>78</v>
      </c>
      <c r="O338" t="s">
        <v>74</v>
      </c>
      <c r="P338" t="s">
        <v>74</v>
      </c>
      <c r="Q338" t="s">
        <v>74</v>
      </c>
      <c r="R338" t="s">
        <v>74</v>
      </c>
      <c r="S338" t="s">
        <v>74</v>
      </c>
      <c r="T338" t="s">
        <v>74</v>
      </c>
      <c r="U338" t="s">
        <v>4791</v>
      </c>
      <c r="V338" t="s">
        <v>4792</v>
      </c>
      <c r="W338" t="s">
        <v>4793</v>
      </c>
      <c r="X338" t="s">
        <v>4776</v>
      </c>
      <c r="Y338" t="s">
        <v>4794</v>
      </c>
      <c r="Z338" t="s">
        <v>4795</v>
      </c>
      <c r="AA338" t="s">
        <v>4796</v>
      </c>
      <c r="AB338" t="s">
        <v>4797</v>
      </c>
      <c r="AC338" t="s">
        <v>74</v>
      </c>
      <c r="AD338" t="s">
        <v>74</v>
      </c>
      <c r="AE338" t="s">
        <v>74</v>
      </c>
      <c r="AF338" t="s">
        <v>74</v>
      </c>
      <c r="AG338">
        <v>48</v>
      </c>
      <c r="AH338">
        <v>40</v>
      </c>
      <c r="AI338">
        <v>42</v>
      </c>
      <c r="AJ338">
        <v>1</v>
      </c>
      <c r="AK338">
        <v>10</v>
      </c>
      <c r="AL338" t="s">
        <v>1059</v>
      </c>
      <c r="AM338" t="s">
        <v>1060</v>
      </c>
      <c r="AN338" t="s">
        <v>1061</v>
      </c>
      <c r="AO338" t="s">
        <v>4798</v>
      </c>
      <c r="AP338" t="s">
        <v>4799</v>
      </c>
      <c r="AQ338" t="s">
        <v>74</v>
      </c>
      <c r="AR338" t="s">
        <v>4781</v>
      </c>
      <c r="AS338" t="s">
        <v>4782</v>
      </c>
      <c r="AT338" t="s">
        <v>4783</v>
      </c>
      <c r="AU338">
        <v>2000</v>
      </c>
      <c r="AV338">
        <v>105</v>
      </c>
      <c r="AW338" t="s">
        <v>4784</v>
      </c>
      <c r="AX338" t="s">
        <v>74</v>
      </c>
      <c r="AY338" t="s">
        <v>74</v>
      </c>
      <c r="AZ338" t="s">
        <v>74</v>
      </c>
      <c r="BA338" t="s">
        <v>74</v>
      </c>
      <c r="BB338">
        <v>29423</v>
      </c>
      <c r="BC338">
        <v>29433</v>
      </c>
      <c r="BD338" t="s">
        <v>74</v>
      </c>
      <c r="BE338" t="s">
        <v>4800</v>
      </c>
      <c r="BF338" t="str">
        <f>HYPERLINK("http://dx.doi.org/10.1029/2000JD900450","http://dx.doi.org/10.1029/2000JD900450")</f>
        <v>http://dx.doi.org/10.1029/2000JD900450</v>
      </c>
      <c r="BG338" t="s">
        <v>74</v>
      </c>
      <c r="BH338" t="s">
        <v>74</v>
      </c>
      <c r="BI338">
        <v>11</v>
      </c>
      <c r="BJ338" t="s">
        <v>167</v>
      </c>
      <c r="BK338" t="s">
        <v>94</v>
      </c>
      <c r="BL338" t="s">
        <v>167</v>
      </c>
      <c r="BM338" t="s">
        <v>4786</v>
      </c>
      <c r="BN338" t="s">
        <v>74</v>
      </c>
      <c r="BO338" t="s">
        <v>4801</v>
      </c>
      <c r="BP338" t="s">
        <v>74</v>
      </c>
      <c r="BQ338" t="s">
        <v>74</v>
      </c>
      <c r="BR338" t="s">
        <v>97</v>
      </c>
      <c r="BS338" t="s">
        <v>4802</v>
      </c>
      <c r="BT338" t="str">
        <f>HYPERLINK("https%3A%2F%2Fwww.webofscience.com%2Fwos%2Fwoscc%2Ffull-record%2FWOS:000166358500010","View Full Record in Web of Science")</f>
        <v>View Full Record in Web of Science</v>
      </c>
    </row>
    <row r="339" spans="1:72" x14ac:dyDescent="0.15">
      <c r="A339" t="s">
        <v>72</v>
      </c>
      <c r="B339" t="s">
        <v>4803</v>
      </c>
      <c r="C339" t="s">
        <v>74</v>
      </c>
      <c r="D339" t="s">
        <v>74</v>
      </c>
      <c r="E339" t="s">
        <v>74</v>
      </c>
      <c r="F339" t="s">
        <v>4803</v>
      </c>
      <c r="G339" t="s">
        <v>74</v>
      </c>
      <c r="H339" t="s">
        <v>74</v>
      </c>
      <c r="I339" t="s">
        <v>4804</v>
      </c>
      <c r="J339" t="s">
        <v>4805</v>
      </c>
      <c r="K339" t="s">
        <v>74</v>
      </c>
      <c r="L339" t="s">
        <v>74</v>
      </c>
      <c r="M339" t="s">
        <v>77</v>
      </c>
      <c r="N339" t="s">
        <v>78</v>
      </c>
      <c r="O339" t="s">
        <v>74</v>
      </c>
      <c r="P339" t="s">
        <v>74</v>
      </c>
      <c r="Q339" t="s">
        <v>74</v>
      </c>
      <c r="R339" t="s">
        <v>74</v>
      </c>
      <c r="S339" t="s">
        <v>74</v>
      </c>
      <c r="T339" t="s">
        <v>4806</v>
      </c>
      <c r="U339" t="s">
        <v>4807</v>
      </c>
      <c r="V339" t="s">
        <v>4808</v>
      </c>
      <c r="W339" t="s">
        <v>4809</v>
      </c>
      <c r="X339" t="s">
        <v>4810</v>
      </c>
      <c r="Y339" t="s">
        <v>3102</v>
      </c>
      <c r="Z339" t="s">
        <v>4811</v>
      </c>
      <c r="AA339" t="s">
        <v>4812</v>
      </c>
      <c r="AB339" t="s">
        <v>331</v>
      </c>
      <c r="AC339" t="s">
        <v>74</v>
      </c>
      <c r="AD339" t="s">
        <v>74</v>
      </c>
      <c r="AE339" t="s">
        <v>74</v>
      </c>
      <c r="AF339" t="s">
        <v>74</v>
      </c>
      <c r="AG339">
        <v>90</v>
      </c>
      <c r="AH339">
        <v>3</v>
      </c>
      <c r="AI339">
        <v>3</v>
      </c>
      <c r="AJ339">
        <v>0</v>
      </c>
      <c r="AK339">
        <v>2</v>
      </c>
      <c r="AL339" t="s">
        <v>4813</v>
      </c>
      <c r="AM339" t="s">
        <v>4814</v>
      </c>
      <c r="AN339" t="s">
        <v>4815</v>
      </c>
      <c r="AO339" t="s">
        <v>4816</v>
      </c>
      <c r="AP339" t="s">
        <v>74</v>
      </c>
      <c r="AQ339" t="s">
        <v>74</v>
      </c>
      <c r="AR339" t="s">
        <v>4817</v>
      </c>
      <c r="AS339" t="s">
        <v>4818</v>
      </c>
      <c r="AT339" t="s">
        <v>4819</v>
      </c>
      <c r="AU339">
        <v>2000</v>
      </c>
      <c r="AV339">
        <v>122</v>
      </c>
      <c r="AW339" t="s">
        <v>74</v>
      </c>
      <c r="AX339" t="s">
        <v>74</v>
      </c>
      <c r="AY339" t="s">
        <v>74</v>
      </c>
      <c r="AZ339" t="s">
        <v>74</v>
      </c>
      <c r="BA339" t="s">
        <v>74</v>
      </c>
      <c r="BB339">
        <v>101</v>
      </c>
      <c r="BC339">
        <v>121</v>
      </c>
      <c r="BD339" t="s">
        <v>74</v>
      </c>
      <c r="BE339" t="s">
        <v>74</v>
      </c>
      <c r="BF339" t="s">
        <v>74</v>
      </c>
      <c r="BG339" t="s">
        <v>74</v>
      </c>
      <c r="BH339" t="s">
        <v>74</v>
      </c>
      <c r="BI339">
        <v>21</v>
      </c>
      <c r="BJ339" t="s">
        <v>3852</v>
      </c>
      <c r="BK339" t="s">
        <v>94</v>
      </c>
      <c r="BL339" t="s">
        <v>1103</v>
      </c>
      <c r="BM339" t="s">
        <v>4820</v>
      </c>
      <c r="BN339" t="s">
        <v>74</v>
      </c>
      <c r="BO339" t="s">
        <v>74</v>
      </c>
      <c r="BP339" t="s">
        <v>74</v>
      </c>
      <c r="BQ339" t="s">
        <v>74</v>
      </c>
      <c r="BR339" t="s">
        <v>97</v>
      </c>
      <c r="BS339" t="s">
        <v>4821</v>
      </c>
      <c r="BT339" t="str">
        <f>HYPERLINK("https%3A%2F%2Fwww.webofscience.com%2Fwos%2Fwoscc%2Ffull-record%2FWOS:000169255200007","View Full Record in Web of Science")</f>
        <v>View Full Record in Web of Science</v>
      </c>
    </row>
    <row r="340" spans="1:72" x14ac:dyDescent="0.15">
      <c r="A340" t="s">
        <v>72</v>
      </c>
      <c r="B340" t="s">
        <v>4822</v>
      </c>
      <c r="C340" t="s">
        <v>74</v>
      </c>
      <c r="D340" t="s">
        <v>74</v>
      </c>
      <c r="E340" t="s">
        <v>74</v>
      </c>
      <c r="F340" t="s">
        <v>4822</v>
      </c>
      <c r="G340" t="s">
        <v>74</v>
      </c>
      <c r="H340" t="s">
        <v>74</v>
      </c>
      <c r="I340" t="s">
        <v>4823</v>
      </c>
      <c r="J340" t="s">
        <v>4824</v>
      </c>
      <c r="K340" t="s">
        <v>74</v>
      </c>
      <c r="L340" t="s">
        <v>74</v>
      </c>
      <c r="M340" t="s">
        <v>77</v>
      </c>
      <c r="N340" t="s">
        <v>78</v>
      </c>
      <c r="O340" t="s">
        <v>74</v>
      </c>
      <c r="P340" t="s">
        <v>74</v>
      </c>
      <c r="Q340" t="s">
        <v>74</v>
      </c>
      <c r="R340" t="s">
        <v>74</v>
      </c>
      <c r="S340" t="s">
        <v>74</v>
      </c>
      <c r="T340" t="s">
        <v>74</v>
      </c>
      <c r="U340" t="s">
        <v>4825</v>
      </c>
      <c r="V340" t="s">
        <v>4826</v>
      </c>
      <c r="W340" t="s">
        <v>4827</v>
      </c>
      <c r="X340" t="s">
        <v>4828</v>
      </c>
      <c r="Y340" t="s">
        <v>4829</v>
      </c>
      <c r="Z340" t="s">
        <v>74</v>
      </c>
      <c r="AA340" t="s">
        <v>4830</v>
      </c>
      <c r="AB340" t="s">
        <v>4831</v>
      </c>
      <c r="AC340" t="s">
        <v>74</v>
      </c>
      <c r="AD340" t="s">
        <v>74</v>
      </c>
      <c r="AE340" t="s">
        <v>74</v>
      </c>
      <c r="AF340" t="s">
        <v>74</v>
      </c>
      <c r="AG340">
        <v>50</v>
      </c>
      <c r="AH340">
        <v>36</v>
      </c>
      <c r="AI340">
        <v>39</v>
      </c>
      <c r="AJ340">
        <v>0</v>
      </c>
      <c r="AK340">
        <v>4</v>
      </c>
      <c r="AL340" t="s">
        <v>4832</v>
      </c>
      <c r="AM340" t="s">
        <v>1060</v>
      </c>
      <c r="AN340" t="s">
        <v>4833</v>
      </c>
      <c r="AO340" t="s">
        <v>4834</v>
      </c>
      <c r="AP340" t="s">
        <v>74</v>
      </c>
      <c r="AQ340" t="s">
        <v>74</v>
      </c>
      <c r="AR340" t="s">
        <v>4835</v>
      </c>
      <c r="AS340" t="s">
        <v>4836</v>
      </c>
      <c r="AT340" t="s">
        <v>4837</v>
      </c>
      <c r="AU340">
        <v>2000</v>
      </c>
      <c r="AV340">
        <v>104</v>
      </c>
      <c r="AW340">
        <v>50</v>
      </c>
      <c r="AX340" t="s">
        <v>74</v>
      </c>
      <c r="AY340" t="s">
        <v>74</v>
      </c>
      <c r="AZ340" t="s">
        <v>74</v>
      </c>
      <c r="BA340" t="s">
        <v>74</v>
      </c>
      <c r="BB340">
        <v>11739</v>
      </c>
      <c r="BC340">
        <v>11750</v>
      </c>
      <c r="BD340" t="s">
        <v>74</v>
      </c>
      <c r="BE340" t="s">
        <v>4838</v>
      </c>
      <c r="BF340" t="str">
        <f>HYPERLINK("http://dx.doi.org/10.1021/jp000273g","http://dx.doi.org/10.1021/jp000273g")</f>
        <v>http://dx.doi.org/10.1021/jp000273g</v>
      </c>
      <c r="BG340" t="s">
        <v>74</v>
      </c>
      <c r="BH340" t="s">
        <v>74</v>
      </c>
      <c r="BI340">
        <v>12</v>
      </c>
      <c r="BJ340" t="s">
        <v>4839</v>
      </c>
      <c r="BK340" t="s">
        <v>94</v>
      </c>
      <c r="BL340" t="s">
        <v>4840</v>
      </c>
      <c r="BM340" t="s">
        <v>4841</v>
      </c>
      <c r="BN340" t="s">
        <v>74</v>
      </c>
      <c r="BO340" t="s">
        <v>74</v>
      </c>
      <c r="BP340" t="s">
        <v>74</v>
      </c>
      <c r="BQ340" t="s">
        <v>74</v>
      </c>
      <c r="BR340" t="s">
        <v>97</v>
      </c>
      <c r="BS340" t="s">
        <v>4842</v>
      </c>
      <c r="BT340" t="str">
        <f>HYPERLINK("https%3A%2F%2Fwww.webofscience.com%2Fwos%2Fwoscc%2Ffull-record%2FWOS:000165869600010","View Full Record in Web of Science")</f>
        <v>View Full Record in Web of Science</v>
      </c>
    </row>
    <row r="341" spans="1:72" x14ac:dyDescent="0.15">
      <c r="A341" t="s">
        <v>72</v>
      </c>
      <c r="B341" t="s">
        <v>4843</v>
      </c>
      <c r="C341" t="s">
        <v>74</v>
      </c>
      <c r="D341" t="s">
        <v>74</v>
      </c>
      <c r="E341" t="s">
        <v>74</v>
      </c>
      <c r="F341" t="s">
        <v>4843</v>
      </c>
      <c r="G341" t="s">
        <v>74</v>
      </c>
      <c r="H341" t="s">
        <v>74</v>
      </c>
      <c r="I341" t="s">
        <v>4844</v>
      </c>
      <c r="J341" t="s">
        <v>4845</v>
      </c>
      <c r="K341" t="s">
        <v>74</v>
      </c>
      <c r="L341" t="s">
        <v>74</v>
      </c>
      <c r="M341" t="s">
        <v>77</v>
      </c>
      <c r="N341" t="s">
        <v>78</v>
      </c>
      <c r="O341" t="s">
        <v>74</v>
      </c>
      <c r="P341" t="s">
        <v>74</v>
      </c>
      <c r="Q341" t="s">
        <v>74</v>
      </c>
      <c r="R341" t="s">
        <v>74</v>
      </c>
      <c r="S341" t="s">
        <v>74</v>
      </c>
      <c r="T341" t="s">
        <v>74</v>
      </c>
      <c r="U341" t="s">
        <v>4846</v>
      </c>
      <c r="V341" t="s">
        <v>4847</v>
      </c>
      <c r="W341" t="s">
        <v>4848</v>
      </c>
      <c r="X341" t="s">
        <v>4849</v>
      </c>
      <c r="Y341" t="s">
        <v>4850</v>
      </c>
      <c r="Z341" t="s">
        <v>74</v>
      </c>
      <c r="AA341" t="s">
        <v>4851</v>
      </c>
      <c r="AB341" t="s">
        <v>4852</v>
      </c>
      <c r="AC341" t="s">
        <v>74</v>
      </c>
      <c r="AD341" t="s">
        <v>74</v>
      </c>
      <c r="AE341" t="s">
        <v>74</v>
      </c>
      <c r="AF341" t="s">
        <v>74</v>
      </c>
      <c r="AG341">
        <v>51</v>
      </c>
      <c r="AH341">
        <v>24</v>
      </c>
      <c r="AI341">
        <v>25</v>
      </c>
      <c r="AJ341">
        <v>0</v>
      </c>
      <c r="AK341">
        <v>4</v>
      </c>
      <c r="AL341" t="s">
        <v>4832</v>
      </c>
      <c r="AM341" t="s">
        <v>1060</v>
      </c>
      <c r="AN341" t="s">
        <v>4833</v>
      </c>
      <c r="AO341" t="s">
        <v>4853</v>
      </c>
      <c r="AP341" t="s">
        <v>74</v>
      </c>
      <c r="AQ341" t="s">
        <v>74</v>
      </c>
      <c r="AR341" t="s">
        <v>4854</v>
      </c>
      <c r="AS341" t="s">
        <v>4855</v>
      </c>
      <c r="AT341" t="s">
        <v>4856</v>
      </c>
      <c r="AU341">
        <v>2000</v>
      </c>
      <c r="AV341">
        <v>39</v>
      </c>
      <c r="AW341">
        <v>50</v>
      </c>
      <c r="AX341" t="s">
        <v>74</v>
      </c>
      <c r="AY341" t="s">
        <v>74</v>
      </c>
      <c r="AZ341" t="s">
        <v>74</v>
      </c>
      <c r="BA341" t="s">
        <v>74</v>
      </c>
      <c r="BB341">
        <v>15531</v>
      </c>
      <c r="BC341">
        <v>15539</v>
      </c>
      <c r="BD341" t="s">
        <v>74</v>
      </c>
      <c r="BE341" t="s">
        <v>4857</v>
      </c>
      <c r="BF341" t="str">
        <f>HYPERLINK("http://dx.doi.org/10.1021/bi0018133","http://dx.doi.org/10.1021/bi0018133")</f>
        <v>http://dx.doi.org/10.1021/bi0018133</v>
      </c>
      <c r="BG341" t="s">
        <v>74</v>
      </c>
      <c r="BH341" t="s">
        <v>74</v>
      </c>
      <c r="BI341">
        <v>9</v>
      </c>
      <c r="BJ341" t="s">
        <v>820</v>
      </c>
      <c r="BK341" t="s">
        <v>94</v>
      </c>
      <c r="BL341" t="s">
        <v>820</v>
      </c>
      <c r="BM341" t="s">
        <v>4858</v>
      </c>
      <c r="BN341">
        <v>11112539</v>
      </c>
      <c r="BO341" t="s">
        <v>74</v>
      </c>
      <c r="BP341" t="s">
        <v>74</v>
      </c>
      <c r="BQ341" t="s">
        <v>74</v>
      </c>
      <c r="BR341" t="s">
        <v>97</v>
      </c>
      <c r="BS341" t="s">
        <v>4859</v>
      </c>
      <c r="BT341" t="str">
        <f>HYPERLINK("https%3A%2F%2Fwww.webofscience.com%2Fwos%2Fwoscc%2Ffull-record%2FWOS:000165875500026","View Full Record in Web of Science")</f>
        <v>View Full Record in Web of Science</v>
      </c>
    </row>
    <row r="342" spans="1:72" x14ac:dyDescent="0.15">
      <c r="A342" t="s">
        <v>72</v>
      </c>
      <c r="B342" t="s">
        <v>4860</v>
      </c>
      <c r="C342" t="s">
        <v>74</v>
      </c>
      <c r="D342" t="s">
        <v>74</v>
      </c>
      <c r="E342" t="s">
        <v>74</v>
      </c>
      <c r="F342" t="s">
        <v>4860</v>
      </c>
      <c r="G342" t="s">
        <v>74</v>
      </c>
      <c r="H342" t="s">
        <v>74</v>
      </c>
      <c r="I342" t="s">
        <v>4861</v>
      </c>
      <c r="J342" t="s">
        <v>4772</v>
      </c>
      <c r="K342" t="s">
        <v>74</v>
      </c>
      <c r="L342" t="s">
        <v>74</v>
      </c>
      <c r="M342" t="s">
        <v>77</v>
      </c>
      <c r="N342" t="s">
        <v>78</v>
      </c>
      <c r="O342" t="s">
        <v>74</v>
      </c>
      <c r="P342" t="s">
        <v>74</v>
      </c>
      <c r="Q342" t="s">
        <v>74</v>
      </c>
      <c r="R342" t="s">
        <v>74</v>
      </c>
      <c r="S342" t="s">
        <v>74</v>
      </c>
      <c r="T342" t="s">
        <v>74</v>
      </c>
      <c r="U342" t="s">
        <v>4862</v>
      </c>
      <c r="V342" t="s">
        <v>4863</v>
      </c>
      <c r="W342" t="s">
        <v>4864</v>
      </c>
      <c r="X342" t="s">
        <v>1883</v>
      </c>
      <c r="Y342" t="s">
        <v>4865</v>
      </c>
      <c r="Z342" t="s">
        <v>74</v>
      </c>
      <c r="AA342" t="s">
        <v>4866</v>
      </c>
      <c r="AB342" t="s">
        <v>4867</v>
      </c>
      <c r="AC342" t="s">
        <v>74</v>
      </c>
      <c r="AD342" t="s">
        <v>74</v>
      </c>
      <c r="AE342" t="s">
        <v>74</v>
      </c>
      <c r="AF342" t="s">
        <v>74</v>
      </c>
      <c r="AG342">
        <v>63</v>
      </c>
      <c r="AH342">
        <v>14</v>
      </c>
      <c r="AI342">
        <v>14</v>
      </c>
      <c r="AJ342">
        <v>1</v>
      </c>
      <c r="AK342">
        <v>3</v>
      </c>
      <c r="AL342" t="s">
        <v>1059</v>
      </c>
      <c r="AM342" t="s">
        <v>1060</v>
      </c>
      <c r="AN342" t="s">
        <v>1061</v>
      </c>
      <c r="AO342" t="s">
        <v>4780</v>
      </c>
      <c r="AP342" t="s">
        <v>74</v>
      </c>
      <c r="AQ342" t="s">
        <v>74</v>
      </c>
      <c r="AR342" t="s">
        <v>4781</v>
      </c>
      <c r="AS342" t="s">
        <v>4782</v>
      </c>
      <c r="AT342" t="s">
        <v>4868</v>
      </c>
      <c r="AU342">
        <v>2000</v>
      </c>
      <c r="AV342">
        <v>105</v>
      </c>
      <c r="AW342" t="s">
        <v>4869</v>
      </c>
      <c r="AX342" t="s">
        <v>74</v>
      </c>
      <c r="AY342" t="s">
        <v>74</v>
      </c>
      <c r="AZ342" t="s">
        <v>74</v>
      </c>
      <c r="BA342" t="s">
        <v>74</v>
      </c>
      <c r="BB342">
        <v>28961</v>
      </c>
      <c r="BC342">
        <v>28977</v>
      </c>
      <c r="BD342" t="s">
        <v>74</v>
      </c>
      <c r="BE342" t="s">
        <v>4870</v>
      </c>
      <c r="BF342" t="str">
        <f>HYPERLINK("http://dx.doi.org/10.1029/2000JD900294","http://dx.doi.org/10.1029/2000JD900294")</f>
        <v>http://dx.doi.org/10.1029/2000JD900294</v>
      </c>
      <c r="BG342" t="s">
        <v>74</v>
      </c>
      <c r="BH342" t="s">
        <v>74</v>
      </c>
      <c r="BI342">
        <v>17</v>
      </c>
      <c r="BJ342" t="s">
        <v>167</v>
      </c>
      <c r="BK342" t="s">
        <v>94</v>
      </c>
      <c r="BL342" t="s">
        <v>167</v>
      </c>
      <c r="BM342" t="s">
        <v>4871</v>
      </c>
      <c r="BN342" t="s">
        <v>74</v>
      </c>
      <c r="BO342" t="s">
        <v>74</v>
      </c>
      <c r="BP342" t="s">
        <v>74</v>
      </c>
      <c r="BQ342" t="s">
        <v>74</v>
      </c>
      <c r="BR342" t="s">
        <v>97</v>
      </c>
      <c r="BS342" t="s">
        <v>4872</v>
      </c>
      <c r="BT342" t="str">
        <f>HYPERLINK("https%3A%2F%2Fwww.webofscience.com%2Fwos%2Fwoscc%2Ffull-record%2FWOS:000166257400007","View Full Record in Web of Science")</f>
        <v>View Full Record in Web of Science</v>
      </c>
    </row>
    <row r="343" spans="1:72" x14ac:dyDescent="0.15">
      <c r="A343" t="s">
        <v>72</v>
      </c>
      <c r="B343" t="s">
        <v>4873</v>
      </c>
      <c r="C343" t="s">
        <v>74</v>
      </c>
      <c r="D343" t="s">
        <v>74</v>
      </c>
      <c r="E343" t="s">
        <v>74</v>
      </c>
      <c r="F343" t="s">
        <v>4873</v>
      </c>
      <c r="G343" t="s">
        <v>74</v>
      </c>
      <c r="H343" t="s">
        <v>74</v>
      </c>
      <c r="I343" t="s">
        <v>4874</v>
      </c>
      <c r="J343" t="s">
        <v>4772</v>
      </c>
      <c r="K343" t="s">
        <v>74</v>
      </c>
      <c r="L343" t="s">
        <v>74</v>
      </c>
      <c r="M343" t="s">
        <v>77</v>
      </c>
      <c r="N343" t="s">
        <v>78</v>
      </c>
      <c r="O343" t="s">
        <v>74</v>
      </c>
      <c r="P343" t="s">
        <v>74</v>
      </c>
      <c r="Q343" t="s">
        <v>74</v>
      </c>
      <c r="R343" t="s">
        <v>74</v>
      </c>
      <c r="S343" t="s">
        <v>74</v>
      </c>
      <c r="T343" t="s">
        <v>74</v>
      </c>
      <c r="U343" t="s">
        <v>4875</v>
      </c>
      <c r="V343" t="s">
        <v>4876</v>
      </c>
      <c r="W343" t="s">
        <v>4877</v>
      </c>
      <c r="X343" t="s">
        <v>4878</v>
      </c>
      <c r="Y343" t="s">
        <v>4879</v>
      </c>
      <c r="Z343" t="s">
        <v>4880</v>
      </c>
      <c r="AA343" t="s">
        <v>74</v>
      </c>
      <c r="AB343" t="s">
        <v>74</v>
      </c>
      <c r="AC343" t="s">
        <v>74</v>
      </c>
      <c r="AD343" t="s">
        <v>74</v>
      </c>
      <c r="AE343" t="s">
        <v>74</v>
      </c>
      <c r="AF343" t="s">
        <v>74</v>
      </c>
      <c r="AG343">
        <v>35</v>
      </c>
      <c r="AH343">
        <v>17</v>
      </c>
      <c r="AI343">
        <v>19</v>
      </c>
      <c r="AJ343">
        <v>0</v>
      </c>
      <c r="AK343">
        <v>7</v>
      </c>
      <c r="AL343" t="s">
        <v>1059</v>
      </c>
      <c r="AM343" t="s">
        <v>1060</v>
      </c>
      <c r="AN343" t="s">
        <v>1061</v>
      </c>
      <c r="AO343" t="s">
        <v>4798</v>
      </c>
      <c r="AP343" t="s">
        <v>74</v>
      </c>
      <c r="AQ343" t="s">
        <v>74</v>
      </c>
      <c r="AR343" t="s">
        <v>4781</v>
      </c>
      <c r="AS343" t="s">
        <v>4782</v>
      </c>
      <c r="AT343" t="s">
        <v>4868</v>
      </c>
      <c r="AU343">
        <v>2000</v>
      </c>
      <c r="AV343">
        <v>105</v>
      </c>
      <c r="AW343" t="s">
        <v>4869</v>
      </c>
      <c r="AX343" t="s">
        <v>74</v>
      </c>
      <c r="AY343" t="s">
        <v>74</v>
      </c>
      <c r="AZ343" t="s">
        <v>74</v>
      </c>
      <c r="BA343" t="s">
        <v>74</v>
      </c>
      <c r="BB343">
        <v>29155</v>
      </c>
      <c r="BC343">
        <v>29164</v>
      </c>
      <c r="BD343" t="s">
        <v>74</v>
      </c>
      <c r="BE343" t="s">
        <v>4881</v>
      </c>
      <c r="BF343" t="str">
        <f>HYPERLINK("http://dx.doi.org/10.1029/2000JD900335","http://dx.doi.org/10.1029/2000JD900335")</f>
        <v>http://dx.doi.org/10.1029/2000JD900335</v>
      </c>
      <c r="BG343" t="s">
        <v>74</v>
      </c>
      <c r="BH343" t="s">
        <v>74</v>
      </c>
      <c r="BI343">
        <v>10</v>
      </c>
      <c r="BJ343" t="s">
        <v>167</v>
      </c>
      <c r="BK343" t="s">
        <v>94</v>
      </c>
      <c r="BL343" t="s">
        <v>167</v>
      </c>
      <c r="BM343" t="s">
        <v>4871</v>
      </c>
      <c r="BN343" t="s">
        <v>74</v>
      </c>
      <c r="BO343" t="s">
        <v>1755</v>
      </c>
      <c r="BP343" t="s">
        <v>74</v>
      </c>
      <c r="BQ343" t="s">
        <v>74</v>
      </c>
      <c r="BR343" t="s">
        <v>97</v>
      </c>
      <c r="BS343" t="s">
        <v>4882</v>
      </c>
      <c r="BT343" t="str">
        <f>HYPERLINK("https%3A%2F%2Fwww.webofscience.com%2Fwos%2Fwoscc%2Ffull-record%2FWOS:000166257400020","View Full Record in Web of Science")</f>
        <v>View Full Record in Web of Science</v>
      </c>
    </row>
    <row r="344" spans="1:72" x14ac:dyDescent="0.15">
      <c r="A344" t="s">
        <v>72</v>
      </c>
      <c r="B344" t="s">
        <v>4883</v>
      </c>
      <c r="C344" t="s">
        <v>74</v>
      </c>
      <c r="D344" t="s">
        <v>74</v>
      </c>
      <c r="E344" t="s">
        <v>74</v>
      </c>
      <c r="F344" t="s">
        <v>4883</v>
      </c>
      <c r="G344" t="s">
        <v>74</v>
      </c>
      <c r="H344" t="s">
        <v>74</v>
      </c>
      <c r="I344" t="s">
        <v>4884</v>
      </c>
      <c r="J344" t="s">
        <v>1053</v>
      </c>
      <c r="K344" t="s">
        <v>74</v>
      </c>
      <c r="L344" t="s">
        <v>74</v>
      </c>
      <c r="M344" t="s">
        <v>77</v>
      </c>
      <c r="N344" t="s">
        <v>78</v>
      </c>
      <c r="O344" t="s">
        <v>74</v>
      </c>
      <c r="P344" t="s">
        <v>74</v>
      </c>
      <c r="Q344" t="s">
        <v>74</v>
      </c>
      <c r="R344" t="s">
        <v>74</v>
      </c>
      <c r="S344" t="s">
        <v>74</v>
      </c>
      <c r="T344" t="s">
        <v>74</v>
      </c>
      <c r="U344" t="s">
        <v>4885</v>
      </c>
      <c r="V344" t="s">
        <v>4886</v>
      </c>
      <c r="W344" t="s">
        <v>4887</v>
      </c>
      <c r="X344" t="s">
        <v>4888</v>
      </c>
      <c r="Y344" t="s">
        <v>4889</v>
      </c>
      <c r="Z344" t="s">
        <v>74</v>
      </c>
      <c r="AA344" t="s">
        <v>74</v>
      </c>
      <c r="AB344" t="s">
        <v>4890</v>
      </c>
      <c r="AC344" t="s">
        <v>74</v>
      </c>
      <c r="AD344" t="s">
        <v>74</v>
      </c>
      <c r="AE344" t="s">
        <v>74</v>
      </c>
      <c r="AF344" t="s">
        <v>74</v>
      </c>
      <c r="AG344">
        <v>8</v>
      </c>
      <c r="AH344">
        <v>6</v>
      </c>
      <c r="AI344">
        <v>6</v>
      </c>
      <c r="AJ344">
        <v>0</v>
      </c>
      <c r="AK344">
        <v>1</v>
      </c>
      <c r="AL344" t="s">
        <v>1059</v>
      </c>
      <c r="AM344" t="s">
        <v>1060</v>
      </c>
      <c r="AN344" t="s">
        <v>1061</v>
      </c>
      <c r="AO344" t="s">
        <v>1062</v>
      </c>
      <c r="AP344" t="s">
        <v>74</v>
      </c>
      <c r="AQ344" t="s">
        <v>74</v>
      </c>
      <c r="AR344" t="s">
        <v>1063</v>
      </c>
      <c r="AS344" t="s">
        <v>1064</v>
      </c>
      <c r="AT344" t="s">
        <v>4891</v>
      </c>
      <c r="AU344">
        <v>2000</v>
      </c>
      <c r="AV344">
        <v>27</v>
      </c>
      <c r="AW344">
        <v>24</v>
      </c>
      <c r="AX344" t="s">
        <v>74</v>
      </c>
      <c r="AY344" t="s">
        <v>74</v>
      </c>
      <c r="AZ344" t="s">
        <v>74</v>
      </c>
      <c r="BA344" t="s">
        <v>74</v>
      </c>
      <c r="BB344">
        <v>4029</v>
      </c>
      <c r="BC344">
        <v>4032</v>
      </c>
      <c r="BD344" t="s">
        <v>74</v>
      </c>
      <c r="BE344" t="s">
        <v>4892</v>
      </c>
      <c r="BF344" t="str">
        <f>HYPERLINK("http://dx.doi.org/10.1029/2000GL000090","http://dx.doi.org/10.1029/2000GL000090")</f>
        <v>http://dx.doi.org/10.1029/2000GL000090</v>
      </c>
      <c r="BG344" t="s">
        <v>74</v>
      </c>
      <c r="BH344" t="s">
        <v>74</v>
      </c>
      <c r="BI344">
        <v>4</v>
      </c>
      <c r="BJ344" t="s">
        <v>595</v>
      </c>
      <c r="BK344" t="s">
        <v>94</v>
      </c>
      <c r="BL344" t="s">
        <v>597</v>
      </c>
      <c r="BM344" t="s">
        <v>4893</v>
      </c>
      <c r="BN344" t="s">
        <v>74</v>
      </c>
      <c r="BO344" t="s">
        <v>1755</v>
      </c>
      <c r="BP344" t="s">
        <v>74</v>
      </c>
      <c r="BQ344" t="s">
        <v>74</v>
      </c>
      <c r="BR344" t="s">
        <v>97</v>
      </c>
      <c r="BS344" t="s">
        <v>4894</v>
      </c>
      <c r="BT344" t="str">
        <f>HYPERLINK("https%3A%2F%2Fwww.webofscience.com%2Fwos%2Fwoscc%2Ffull-record%2FWOS:000166311700017","View Full Record in Web of Science")</f>
        <v>View Full Record in Web of Science</v>
      </c>
    </row>
    <row r="345" spans="1:72" x14ac:dyDescent="0.15">
      <c r="A345" t="s">
        <v>72</v>
      </c>
      <c r="B345" t="s">
        <v>4895</v>
      </c>
      <c r="C345" t="s">
        <v>74</v>
      </c>
      <c r="D345" t="s">
        <v>74</v>
      </c>
      <c r="E345" t="s">
        <v>74</v>
      </c>
      <c r="F345" t="s">
        <v>4895</v>
      </c>
      <c r="G345" t="s">
        <v>74</v>
      </c>
      <c r="H345" t="s">
        <v>74</v>
      </c>
      <c r="I345" t="s">
        <v>4896</v>
      </c>
      <c r="J345" t="s">
        <v>1053</v>
      </c>
      <c r="K345" t="s">
        <v>74</v>
      </c>
      <c r="L345" t="s">
        <v>74</v>
      </c>
      <c r="M345" t="s">
        <v>77</v>
      </c>
      <c r="N345" t="s">
        <v>78</v>
      </c>
      <c r="O345" t="s">
        <v>74</v>
      </c>
      <c r="P345" t="s">
        <v>74</v>
      </c>
      <c r="Q345" t="s">
        <v>74</v>
      </c>
      <c r="R345" t="s">
        <v>74</v>
      </c>
      <c r="S345" t="s">
        <v>74</v>
      </c>
      <c r="T345" t="s">
        <v>74</v>
      </c>
      <c r="U345" t="s">
        <v>4897</v>
      </c>
      <c r="V345" t="s">
        <v>4898</v>
      </c>
      <c r="W345" t="s">
        <v>4899</v>
      </c>
      <c r="X345" t="s">
        <v>4900</v>
      </c>
      <c r="Y345" t="s">
        <v>4901</v>
      </c>
      <c r="Z345" t="s">
        <v>74</v>
      </c>
      <c r="AA345" t="s">
        <v>4902</v>
      </c>
      <c r="AB345" t="s">
        <v>74</v>
      </c>
      <c r="AC345" t="s">
        <v>74</v>
      </c>
      <c r="AD345" t="s">
        <v>74</v>
      </c>
      <c r="AE345" t="s">
        <v>74</v>
      </c>
      <c r="AF345" t="s">
        <v>74</v>
      </c>
      <c r="AG345">
        <v>8</v>
      </c>
      <c r="AH345">
        <v>30</v>
      </c>
      <c r="AI345">
        <v>33</v>
      </c>
      <c r="AJ345">
        <v>0</v>
      </c>
      <c r="AK345">
        <v>7</v>
      </c>
      <c r="AL345" t="s">
        <v>1059</v>
      </c>
      <c r="AM345" t="s">
        <v>1060</v>
      </c>
      <c r="AN345" t="s">
        <v>1061</v>
      </c>
      <c r="AO345" t="s">
        <v>1062</v>
      </c>
      <c r="AP345" t="s">
        <v>74</v>
      </c>
      <c r="AQ345" t="s">
        <v>74</v>
      </c>
      <c r="AR345" t="s">
        <v>1063</v>
      </c>
      <c r="AS345" t="s">
        <v>1064</v>
      </c>
      <c r="AT345" t="s">
        <v>4891</v>
      </c>
      <c r="AU345">
        <v>2000</v>
      </c>
      <c r="AV345">
        <v>27</v>
      </c>
      <c r="AW345">
        <v>24</v>
      </c>
      <c r="AX345" t="s">
        <v>74</v>
      </c>
      <c r="AY345" t="s">
        <v>74</v>
      </c>
      <c r="AZ345" t="s">
        <v>74</v>
      </c>
      <c r="BA345" t="s">
        <v>74</v>
      </c>
      <c r="BB345">
        <v>4065</v>
      </c>
      <c r="BC345">
        <v>4068</v>
      </c>
      <c r="BD345" t="s">
        <v>74</v>
      </c>
      <c r="BE345" t="s">
        <v>4903</v>
      </c>
      <c r="BF345" t="str">
        <f>HYPERLINK("http://dx.doi.org/10.1029/2000GL011691","http://dx.doi.org/10.1029/2000GL011691")</f>
        <v>http://dx.doi.org/10.1029/2000GL011691</v>
      </c>
      <c r="BG345" t="s">
        <v>74</v>
      </c>
      <c r="BH345" t="s">
        <v>74</v>
      </c>
      <c r="BI345">
        <v>4</v>
      </c>
      <c r="BJ345" t="s">
        <v>595</v>
      </c>
      <c r="BK345" t="s">
        <v>94</v>
      </c>
      <c r="BL345" t="s">
        <v>597</v>
      </c>
      <c r="BM345" t="s">
        <v>4893</v>
      </c>
      <c r="BN345" t="s">
        <v>74</v>
      </c>
      <c r="BO345" t="s">
        <v>2097</v>
      </c>
      <c r="BP345" t="s">
        <v>74</v>
      </c>
      <c r="BQ345" t="s">
        <v>74</v>
      </c>
      <c r="BR345" t="s">
        <v>97</v>
      </c>
      <c r="BS345" t="s">
        <v>4904</v>
      </c>
      <c r="BT345" t="str">
        <f>HYPERLINK("https%3A%2F%2Fwww.webofscience.com%2Fwos%2Fwoscc%2Ffull-record%2FWOS:000166311700026","View Full Record in Web of Science")</f>
        <v>View Full Record in Web of Science</v>
      </c>
    </row>
    <row r="346" spans="1:72" x14ac:dyDescent="0.15">
      <c r="A346" t="s">
        <v>72</v>
      </c>
      <c r="B346" t="s">
        <v>4905</v>
      </c>
      <c r="C346" t="s">
        <v>74</v>
      </c>
      <c r="D346" t="s">
        <v>74</v>
      </c>
      <c r="E346" t="s">
        <v>74</v>
      </c>
      <c r="F346" t="s">
        <v>4905</v>
      </c>
      <c r="G346" t="s">
        <v>74</v>
      </c>
      <c r="H346" t="s">
        <v>74</v>
      </c>
      <c r="I346" t="s">
        <v>4906</v>
      </c>
      <c r="J346" t="s">
        <v>4907</v>
      </c>
      <c r="K346" t="s">
        <v>74</v>
      </c>
      <c r="L346" t="s">
        <v>74</v>
      </c>
      <c r="M346" t="s">
        <v>77</v>
      </c>
      <c r="N346" t="s">
        <v>78</v>
      </c>
      <c r="O346" t="s">
        <v>74</v>
      </c>
      <c r="P346" t="s">
        <v>74</v>
      </c>
      <c r="Q346" t="s">
        <v>74</v>
      </c>
      <c r="R346" t="s">
        <v>74</v>
      </c>
      <c r="S346" t="s">
        <v>74</v>
      </c>
      <c r="T346" t="s">
        <v>74</v>
      </c>
      <c r="U346" t="s">
        <v>4908</v>
      </c>
      <c r="V346" t="s">
        <v>4909</v>
      </c>
      <c r="W346" t="s">
        <v>4910</v>
      </c>
      <c r="X346" t="s">
        <v>4911</v>
      </c>
      <c r="Y346" t="s">
        <v>4912</v>
      </c>
      <c r="Z346" t="s">
        <v>4913</v>
      </c>
      <c r="AA346" t="s">
        <v>4914</v>
      </c>
      <c r="AB346" t="s">
        <v>4915</v>
      </c>
      <c r="AC346" t="s">
        <v>74</v>
      </c>
      <c r="AD346" t="s">
        <v>74</v>
      </c>
      <c r="AE346" t="s">
        <v>74</v>
      </c>
      <c r="AF346" t="s">
        <v>74</v>
      </c>
      <c r="AG346">
        <v>34</v>
      </c>
      <c r="AH346">
        <v>83</v>
      </c>
      <c r="AI346">
        <v>84</v>
      </c>
      <c r="AJ346">
        <v>2</v>
      </c>
      <c r="AK346">
        <v>11</v>
      </c>
      <c r="AL346" t="s">
        <v>1059</v>
      </c>
      <c r="AM346" t="s">
        <v>1060</v>
      </c>
      <c r="AN346" t="s">
        <v>1061</v>
      </c>
      <c r="AO346" t="s">
        <v>4916</v>
      </c>
      <c r="AP346" t="s">
        <v>4917</v>
      </c>
      <c r="AQ346" t="s">
        <v>74</v>
      </c>
      <c r="AR346" t="s">
        <v>4918</v>
      </c>
      <c r="AS346" t="s">
        <v>4919</v>
      </c>
      <c r="AT346" t="s">
        <v>4891</v>
      </c>
      <c r="AU346">
        <v>2000</v>
      </c>
      <c r="AV346">
        <v>105</v>
      </c>
      <c r="AW346" t="s">
        <v>4920</v>
      </c>
      <c r="AX346" t="s">
        <v>74</v>
      </c>
      <c r="AY346" t="s">
        <v>74</v>
      </c>
      <c r="AZ346" t="s">
        <v>74</v>
      </c>
      <c r="BA346" t="s">
        <v>74</v>
      </c>
      <c r="BB346">
        <v>28509</v>
      </c>
      <c r="BC346">
        <v>28526</v>
      </c>
      <c r="BD346" t="s">
        <v>74</v>
      </c>
      <c r="BE346" t="s">
        <v>4921</v>
      </c>
      <c r="BF346" t="str">
        <f>HYPERLINK("http://dx.doi.org/10.1029/1999JC000121","http://dx.doi.org/10.1029/1999JC000121")</f>
        <v>http://dx.doi.org/10.1029/1999JC000121</v>
      </c>
      <c r="BG346" t="s">
        <v>74</v>
      </c>
      <c r="BH346" t="s">
        <v>74</v>
      </c>
      <c r="BI346">
        <v>18</v>
      </c>
      <c r="BJ346" t="s">
        <v>252</v>
      </c>
      <c r="BK346" t="s">
        <v>94</v>
      </c>
      <c r="BL346" t="s">
        <v>252</v>
      </c>
      <c r="BM346" t="s">
        <v>4922</v>
      </c>
      <c r="BN346" t="s">
        <v>74</v>
      </c>
      <c r="BO346" t="s">
        <v>1755</v>
      </c>
      <c r="BP346" t="s">
        <v>74</v>
      </c>
      <c r="BQ346" t="s">
        <v>74</v>
      </c>
      <c r="BR346" t="s">
        <v>97</v>
      </c>
      <c r="BS346" t="s">
        <v>4923</v>
      </c>
      <c r="BT346" t="str">
        <f>HYPERLINK("https%3A%2F%2Fwww.webofscience.com%2Fwos%2Fwoscc%2Ffull-record%2FWOS:000166208800001","View Full Record in Web of Science")</f>
        <v>View Full Record in Web of Science</v>
      </c>
    </row>
    <row r="347" spans="1:72" x14ac:dyDescent="0.15">
      <c r="A347" t="s">
        <v>72</v>
      </c>
      <c r="B347" t="s">
        <v>4924</v>
      </c>
      <c r="C347" t="s">
        <v>74</v>
      </c>
      <c r="D347" t="s">
        <v>74</v>
      </c>
      <c r="E347" t="s">
        <v>74</v>
      </c>
      <c r="F347" t="s">
        <v>4924</v>
      </c>
      <c r="G347" t="s">
        <v>74</v>
      </c>
      <c r="H347" t="s">
        <v>74</v>
      </c>
      <c r="I347" t="s">
        <v>4925</v>
      </c>
      <c r="J347" t="s">
        <v>4907</v>
      </c>
      <c r="K347" t="s">
        <v>74</v>
      </c>
      <c r="L347" t="s">
        <v>74</v>
      </c>
      <c r="M347" t="s">
        <v>77</v>
      </c>
      <c r="N347" t="s">
        <v>78</v>
      </c>
      <c r="O347" t="s">
        <v>74</v>
      </c>
      <c r="P347" t="s">
        <v>74</v>
      </c>
      <c r="Q347" t="s">
        <v>74</v>
      </c>
      <c r="R347" t="s">
        <v>74</v>
      </c>
      <c r="S347" t="s">
        <v>74</v>
      </c>
      <c r="T347" t="s">
        <v>74</v>
      </c>
      <c r="U347" t="s">
        <v>4926</v>
      </c>
      <c r="V347" t="s">
        <v>4927</v>
      </c>
      <c r="W347" t="s">
        <v>4928</v>
      </c>
      <c r="X347" t="s">
        <v>4929</v>
      </c>
      <c r="Y347" t="s">
        <v>4930</v>
      </c>
      <c r="Z347" t="s">
        <v>4931</v>
      </c>
      <c r="AA347" t="s">
        <v>4932</v>
      </c>
      <c r="AB347" t="s">
        <v>4933</v>
      </c>
      <c r="AC347" t="s">
        <v>74</v>
      </c>
      <c r="AD347" t="s">
        <v>74</v>
      </c>
      <c r="AE347" t="s">
        <v>74</v>
      </c>
      <c r="AF347" t="s">
        <v>74</v>
      </c>
      <c r="AG347">
        <v>36</v>
      </c>
      <c r="AH347">
        <v>18</v>
      </c>
      <c r="AI347">
        <v>18</v>
      </c>
      <c r="AJ347">
        <v>0</v>
      </c>
      <c r="AK347">
        <v>10</v>
      </c>
      <c r="AL347" t="s">
        <v>1059</v>
      </c>
      <c r="AM347" t="s">
        <v>1060</v>
      </c>
      <c r="AN347" t="s">
        <v>1061</v>
      </c>
      <c r="AO347" t="s">
        <v>4916</v>
      </c>
      <c r="AP347" t="s">
        <v>4917</v>
      </c>
      <c r="AQ347" t="s">
        <v>74</v>
      </c>
      <c r="AR347" t="s">
        <v>4918</v>
      </c>
      <c r="AS347" t="s">
        <v>4919</v>
      </c>
      <c r="AT347" t="s">
        <v>4891</v>
      </c>
      <c r="AU347">
        <v>2000</v>
      </c>
      <c r="AV347">
        <v>105</v>
      </c>
      <c r="AW347" t="s">
        <v>4920</v>
      </c>
      <c r="AX347" t="s">
        <v>74</v>
      </c>
      <c r="AY347" t="s">
        <v>74</v>
      </c>
      <c r="AZ347" t="s">
        <v>74</v>
      </c>
      <c r="BA347" t="s">
        <v>74</v>
      </c>
      <c r="BB347">
        <v>28759</v>
      </c>
      <c r="BC347">
        <v>28769</v>
      </c>
      <c r="BD347" t="s">
        <v>74</v>
      </c>
      <c r="BE347" t="s">
        <v>4934</v>
      </c>
      <c r="BF347" t="str">
        <f>HYPERLINK("http://dx.doi.org/10.1029/2000JC900099","http://dx.doi.org/10.1029/2000JC900099")</f>
        <v>http://dx.doi.org/10.1029/2000JC900099</v>
      </c>
      <c r="BG347" t="s">
        <v>74</v>
      </c>
      <c r="BH347" t="s">
        <v>74</v>
      </c>
      <c r="BI347">
        <v>11</v>
      </c>
      <c r="BJ347" t="s">
        <v>252</v>
      </c>
      <c r="BK347" t="s">
        <v>94</v>
      </c>
      <c r="BL347" t="s">
        <v>252</v>
      </c>
      <c r="BM347" t="s">
        <v>4922</v>
      </c>
      <c r="BN347" t="s">
        <v>74</v>
      </c>
      <c r="BO347" t="s">
        <v>1755</v>
      </c>
      <c r="BP347" t="s">
        <v>74</v>
      </c>
      <c r="BQ347" t="s">
        <v>74</v>
      </c>
      <c r="BR347" t="s">
        <v>97</v>
      </c>
      <c r="BS347" t="s">
        <v>4935</v>
      </c>
      <c r="BT347" t="str">
        <f>HYPERLINK("https%3A%2F%2Fwww.webofscience.com%2Fwos%2Fwoscc%2Ffull-record%2FWOS:000166208800016","View Full Record in Web of Science")</f>
        <v>View Full Record in Web of Science</v>
      </c>
    </row>
    <row r="348" spans="1:72" x14ac:dyDescent="0.15">
      <c r="A348" t="s">
        <v>72</v>
      </c>
      <c r="B348" t="s">
        <v>4936</v>
      </c>
      <c r="C348" t="s">
        <v>74</v>
      </c>
      <c r="D348" t="s">
        <v>74</v>
      </c>
      <c r="E348" t="s">
        <v>74</v>
      </c>
      <c r="F348" t="s">
        <v>4936</v>
      </c>
      <c r="G348" t="s">
        <v>74</v>
      </c>
      <c r="H348" t="s">
        <v>74</v>
      </c>
      <c r="I348" t="s">
        <v>4937</v>
      </c>
      <c r="J348" t="s">
        <v>4938</v>
      </c>
      <c r="K348" t="s">
        <v>74</v>
      </c>
      <c r="L348" t="s">
        <v>74</v>
      </c>
      <c r="M348" t="s">
        <v>77</v>
      </c>
      <c r="N348" t="s">
        <v>78</v>
      </c>
      <c r="O348" t="s">
        <v>74</v>
      </c>
      <c r="P348" t="s">
        <v>74</v>
      </c>
      <c r="Q348" t="s">
        <v>74</v>
      </c>
      <c r="R348" t="s">
        <v>74</v>
      </c>
      <c r="S348" t="s">
        <v>74</v>
      </c>
      <c r="T348" t="s">
        <v>4939</v>
      </c>
      <c r="U348" t="s">
        <v>74</v>
      </c>
      <c r="V348" t="s">
        <v>4940</v>
      </c>
      <c r="W348" t="s">
        <v>4941</v>
      </c>
      <c r="X348" t="s">
        <v>4942</v>
      </c>
      <c r="Y348" t="s">
        <v>4943</v>
      </c>
      <c r="Z348" t="s">
        <v>74</v>
      </c>
      <c r="AA348" t="s">
        <v>74</v>
      </c>
      <c r="AB348" t="s">
        <v>74</v>
      </c>
      <c r="AC348" t="s">
        <v>74</v>
      </c>
      <c r="AD348" t="s">
        <v>74</v>
      </c>
      <c r="AE348" t="s">
        <v>74</v>
      </c>
      <c r="AF348" t="s">
        <v>74</v>
      </c>
      <c r="AG348">
        <v>38</v>
      </c>
      <c r="AH348">
        <v>27</v>
      </c>
      <c r="AI348">
        <v>33</v>
      </c>
      <c r="AJ348">
        <v>0</v>
      </c>
      <c r="AK348">
        <v>2</v>
      </c>
      <c r="AL348" t="s">
        <v>1120</v>
      </c>
      <c r="AM348" t="s">
        <v>1121</v>
      </c>
      <c r="AN348" t="s">
        <v>2394</v>
      </c>
      <c r="AO348" t="s">
        <v>4944</v>
      </c>
      <c r="AP348" t="s">
        <v>74</v>
      </c>
      <c r="AQ348" t="s">
        <v>74</v>
      </c>
      <c r="AR348" t="s">
        <v>4945</v>
      </c>
      <c r="AS348" t="s">
        <v>4946</v>
      </c>
      <c r="AT348" t="s">
        <v>4891</v>
      </c>
      <c r="AU348">
        <v>2000</v>
      </c>
      <c r="AV348">
        <v>171</v>
      </c>
      <c r="AW348" t="s">
        <v>4018</v>
      </c>
      <c r="AX348" t="s">
        <v>74</v>
      </c>
      <c r="AY348" t="s">
        <v>74</v>
      </c>
      <c r="AZ348" t="s">
        <v>74</v>
      </c>
      <c r="BA348" t="s">
        <v>74</v>
      </c>
      <c r="BB348">
        <v>115</v>
      </c>
      <c r="BC348">
        <v>126</v>
      </c>
      <c r="BD348" t="s">
        <v>74</v>
      </c>
      <c r="BE348" t="s">
        <v>4947</v>
      </c>
      <c r="BF348" t="str">
        <f>HYPERLINK("http://dx.doi.org/10.1016/S0025-3227(00)00107-9","http://dx.doi.org/10.1016/S0025-3227(00)00107-9")</f>
        <v>http://dx.doi.org/10.1016/S0025-3227(00)00107-9</v>
      </c>
      <c r="BG348" t="s">
        <v>74</v>
      </c>
      <c r="BH348" t="s">
        <v>74</v>
      </c>
      <c r="BI348">
        <v>12</v>
      </c>
      <c r="BJ348" t="s">
        <v>4948</v>
      </c>
      <c r="BK348" t="s">
        <v>94</v>
      </c>
      <c r="BL348" t="s">
        <v>4949</v>
      </c>
      <c r="BM348" t="s">
        <v>4950</v>
      </c>
      <c r="BN348" t="s">
        <v>74</v>
      </c>
      <c r="BO348" t="s">
        <v>74</v>
      </c>
      <c r="BP348" t="s">
        <v>74</v>
      </c>
      <c r="BQ348" t="s">
        <v>74</v>
      </c>
      <c r="BR348" t="s">
        <v>97</v>
      </c>
      <c r="BS348" t="s">
        <v>4951</v>
      </c>
      <c r="BT348" t="str">
        <f>HYPERLINK("https%3A%2F%2Fwww.webofscience.com%2Fwos%2Fwoscc%2Ffull-record%2FWOS:000166094200008","View Full Record in Web of Science")</f>
        <v>View Full Record in Web of Science</v>
      </c>
    </row>
    <row r="349" spans="1:72" x14ac:dyDescent="0.15">
      <c r="A349" t="s">
        <v>72</v>
      </c>
      <c r="B349" t="s">
        <v>4952</v>
      </c>
      <c r="C349" t="s">
        <v>74</v>
      </c>
      <c r="D349" t="s">
        <v>74</v>
      </c>
      <c r="E349" t="s">
        <v>74</v>
      </c>
      <c r="F349" t="s">
        <v>4952</v>
      </c>
      <c r="G349" t="s">
        <v>74</v>
      </c>
      <c r="H349" t="s">
        <v>74</v>
      </c>
      <c r="I349" t="s">
        <v>4953</v>
      </c>
      <c r="J349" t="s">
        <v>4954</v>
      </c>
      <c r="K349" t="s">
        <v>74</v>
      </c>
      <c r="L349" t="s">
        <v>74</v>
      </c>
      <c r="M349" t="s">
        <v>77</v>
      </c>
      <c r="N349" t="s">
        <v>78</v>
      </c>
      <c r="O349" t="s">
        <v>74</v>
      </c>
      <c r="P349" t="s">
        <v>74</v>
      </c>
      <c r="Q349" t="s">
        <v>74</v>
      </c>
      <c r="R349" t="s">
        <v>74</v>
      </c>
      <c r="S349" t="s">
        <v>74</v>
      </c>
      <c r="T349" t="s">
        <v>4955</v>
      </c>
      <c r="U349" t="s">
        <v>4956</v>
      </c>
      <c r="V349" t="s">
        <v>4957</v>
      </c>
      <c r="W349" t="s">
        <v>4958</v>
      </c>
      <c r="X349" t="s">
        <v>221</v>
      </c>
      <c r="Y349" t="s">
        <v>4959</v>
      </c>
      <c r="Z349" t="s">
        <v>74</v>
      </c>
      <c r="AA349" t="s">
        <v>74</v>
      </c>
      <c r="AB349" t="s">
        <v>74</v>
      </c>
      <c r="AC349" t="s">
        <v>74</v>
      </c>
      <c r="AD349" t="s">
        <v>74</v>
      </c>
      <c r="AE349" t="s">
        <v>74</v>
      </c>
      <c r="AF349" t="s">
        <v>74</v>
      </c>
      <c r="AG349">
        <v>81</v>
      </c>
      <c r="AH349">
        <v>13</v>
      </c>
      <c r="AI349">
        <v>14</v>
      </c>
      <c r="AJ349">
        <v>0</v>
      </c>
      <c r="AK349">
        <v>3</v>
      </c>
      <c r="AL349" t="s">
        <v>1120</v>
      </c>
      <c r="AM349" t="s">
        <v>1121</v>
      </c>
      <c r="AN349" t="s">
        <v>2394</v>
      </c>
      <c r="AO349" t="s">
        <v>4960</v>
      </c>
      <c r="AP349" t="s">
        <v>74</v>
      </c>
      <c r="AQ349" t="s">
        <v>74</v>
      </c>
      <c r="AR349" t="s">
        <v>4954</v>
      </c>
      <c r="AS349" t="s">
        <v>4961</v>
      </c>
      <c r="AT349" t="s">
        <v>4891</v>
      </c>
      <c r="AU349">
        <v>2000</v>
      </c>
      <c r="AV349">
        <v>327</v>
      </c>
      <c r="AW349" t="s">
        <v>1046</v>
      </c>
      <c r="AX349" t="s">
        <v>74</v>
      </c>
      <c r="AY349" t="s">
        <v>74</v>
      </c>
      <c r="AZ349" t="s">
        <v>74</v>
      </c>
      <c r="BA349" t="s">
        <v>74</v>
      </c>
      <c r="BB349">
        <v>195</v>
      </c>
      <c r="BC349">
        <v>212</v>
      </c>
      <c r="BD349" t="s">
        <v>74</v>
      </c>
      <c r="BE349" t="s">
        <v>4962</v>
      </c>
      <c r="BF349" t="str">
        <f>HYPERLINK("http://dx.doi.org/10.1016/S0040-1951(00)00169-4","http://dx.doi.org/10.1016/S0040-1951(00)00169-4")</f>
        <v>http://dx.doi.org/10.1016/S0040-1951(00)00169-4</v>
      </c>
      <c r="BG349" t="s">
        <v>74</v>
      </c>
      <c r="BH349" t="s">
        <v>74</v>
      </c>
      <c r="BI349">
        <v>18</v>
      </c>
      <c r="BJ349" t="s">
        <v>953</v>
      </c>
      <c r="BK349" t="s">
        <v>94</v>
      </c>
      <c r="BL349" t="s">
        <v>953</v>
      </c>
      <c r="BM349" t="s">
        <v>4963</v>
      </c>
      <c r="BN349" t="s">
        <v>74</v>
      </c>
      <c r="BO349" t="s">
        <v>74</v>
      </c>
      <c r="BP349" t="s">
        <v>74</v>
      </c>
      <c r="BQ349" t="s">
        <v>74</v>
      </c>
      <c r="BR349" t="s">
        <v>97</v>
      </c>
      <c r="BS349" t="s">
        <v>4964</v>
      </c>
      <c r="BT349" t="str">
        <f>HYPERLINK("https%3A%2F%2Fwww.webofscience.com%2Fwos%2Fwoscc%2Ffull-record%2FWOS:000166264600003","View Full Record in Web of Science")</f>
        <v>View Full Record in Web of Science</v>
      </c>
    </row>
    <row r="350" spans="1:72" x14ac:dyDescent="0.15">
      <c r="A350" t="s">
        <v>72</v>
      </c>
      <c r="B350" t="s">
        <v>4965</v>
      </c>
      <c r="C350" t="s">
        <v>74</v>
      </c>
      <c r="D350" t="s">
        <v>74</v>
      </c>
      <c r="E350" t="s">
        <v>74</v>
      </c>
      <c r="F350" t="s">
        <v>4965</v>
      </c>
      <c r="G350" t="s">
        <v>74</v>
      </c>
      <c r="H350" t="s">
        <v>74</v>
      </c>
      <c r="I350" t="s">
        <v>4966</v>
      </c>
      <c r="J350" t="s">
        <v>4967</v>
      </c>
      <c r="K350" t="s">
        <v>74</v>
      </c>
      <c r="L350" t="s">
        <v>74</v>
      </c>
      <c r="M350" t="s">
        <v>77</v>
      </c>
      <c r="N350" t="s">
        <v>236</v>
      </c>
      <c r="O350" t="s">
        <v>74</v>
      </c>
      <c r="P350" t="s">
        <v>74</v>
      </c>
      <c r="Q350" t="s">
        <v>74</v>
      </c>
      <c r="R350" t="s">
        <v>74</v>
      </c>
      <c r="S350" t="s">
        <v>74</v>
      </c>
      <c r="T350" t="s">
        <v>74</v>
      </c>
      <c r="U350" t="s">
        <v>4968</v>
      </c>
      <c r="V350" t="s">
        <v>4969</v>
      </c>
      <c r="W350" t="s">
        <v>4970</v>
      </c>
      <c r="X350" t="s">
        <v>433</v>
      </c>
      <c r="Y350" t="s">
        <v>4971</v>
      </c>
      <c r="Z350" t="s">
        <v>4972</v>
      </c>
      <c r="AA350" t="s">
        <v>74</v>
      </c>
      <c r="AB350" t="s">
        <v>74</v>
      </c>
      <c r="AC350" t="s">
        <v>74</v>
      </c>
      <c r="AD350" t="s">
        <v>74</v>
      </c>
      <c r="AE350" t="s">
        <v>74</v>
      </c>
      <c r="AF350" t="s">
        <v>74</v>
      </c>
      <c r="AG350">
        <v>167</v>
      </c>
      <c r="AH350">
        <v>54</v>
      </c>
      <c r="AI350">
        <v>58</v>
      </c>
      <c r="AJ350">
        <v>0</v>
      </c>
      <c r="AK350">
        <v>22</v>
      </c>
      <c r="AL350" t="s">
        <v>1059</v>
      </c>
      <c r="AM350" t="s">
        <v>1060</v>
      </c>
      <c r="AN350" t="s">
        <v>1061</v>
      </c>
      <c r="AO350" t="s">
        <v>4973</v>
      </c>
      <c r="AP350" t="s">
        <v>4974</v>
      </c>
      <c r="AQ350" t="s">
        <v>74</v>
      </c>
      <c r="AR350" t="s">
        <v>4975</v>
      </c>
      <c r="AS350" t="s">
        <v>4976</v>
      </c>
      <c r="AT350" t="s">
        <v>4977</v>
      </c>
      <c r="AU350">
        <v>2000</v>
      </c>
      <c r="AV350">
        <v>105</v>
      </c>
      <c r="AW350" t="s">
        <v>4978</v>
      </c>
      <c r="AX350" t="s">
        <v>74</v>
      </c>
      <c r="AY350" t="s">
        <v>74</v>
      </c>
      <c r="AZ350" t="s">
        <v>74</v>
      </c>
      <c r="BA350" t="s">
        <v>74</v>
      </c>
      <c r="BB350">
        <v>28255</v>
      </c>
      <c r="BC350">
        <v>28277</v>
      </c>
      <c r="BD350" t="s">
        <v>74</v>
      </c>
      <c r="BE350" t="s">
        <v>4979</v>
      </c>
      <c r="BF350" t="str">
        <f>HYPERLINK("http://dx.doi.org/10.1029/2000JB900290","http://dx.doi.org/10.1029/2000JB900290")</f>
        <v>http://dx.doi.org/10.1029/2000JB900290</v>
      </c>
      <c r="BG350" t="s">
        <v>74</v>
      </c>
      <c r="BH350" t="s">
        <v>74</v>
      </c>
      <c r="BI350">
        <v>23</v>
      </c>
      <c r="BJ350" t="s">
        <v>953</v>
      </c>
      <c r="BK350" t="s">
        <v>94</v>
      </c>
      <c r="BL350" t="s">
        <v>953</v>
      </c>
      <c r="BM350" t="s">
        <v>4980</v>
      </c>
      <c r="BN350" t="s">
        <v>74</v>
      </c>
      <c r="BO350" t="s">
        <v>1755</v>
      </c>
      <c r="BP350" t="s">
        <v>74</v>
      </c>
      <c r="BQ350" t="s">
        <v>74</v>
      </c>
      <c r="BR350" t="s">
        <v>97</v>
      </c>
      <c r="BS350" t="s">
        <v>4981</v>
      </c>
      <c r="BT350" t="str">
        <f>HYPERLINK("https%3A%2F%2Fwww.webofscience.com%2Fwos%2Fwoscc%2Ffull-record%2FWOS:000166117500027","View Full Record in Web of Science")</f>
        <v>View Full Record in Web of Science</v>
      </c>
    </row>
    <row r="351" spans="1:72" x14ac:dyDescent="0.15">
      <c r="A351" t="s">
        <v>72</v>
      </c>
      <c r="B351" t="s">
        <v>4982</v>
      </c>
      <c r="C351" t="s">
        <v>74</v>
      </c>
      <c r="D351" t="s">
        <v>74</v>
      </c>
      <c r="E351" t="s">
        <v>74</v>
      </c>
      <c r="F351" t="s">
        <v>4982</v>
      </c>
      <c r="G351" t="s">
        <v>74</v>
      </c>
      <c r="H351" t="s">
        <v>74</v>
      </c>
      <c r="I351" t="s">
        <v>4983</v>
      </c>
      <c r="J351" t="s">
        <v>4967</v>
      </c>
      <c r="K351" t="s">
        <v>74</v>
      </c>
      <c r="L351" t="s">
        <v>74</v>
      </c>
      <c r="M351" t="s">
        <v>77</v>
      </c>
      <c r="N351" t="s">
        <v>78</v>
      </c>
      <c r="O351" t="s">
        <v>74</v>
      </c>
      <c r="P351" t="s">
        <v>74</v>
      </c>
      <c r="Q351" t="s">
        <v>74</v>
      </c>
      <c r="R351" t="s">
        <v>74</v>
      </c>
      <c r="S351" t="s">
        <v>74</v>
      </c>
      <c r="T351" t="s">
        <v>74</v>
      </c>
      <c r="U351" t="s">
        <v>4984</v>
      </c>
      <c r="V351" t="s">
        <v>4985</v>
      </c>
      <c r="W351" t="s">
        <v>4986</v>
      </c>
      <c r="X351" t="s">
        <v>4987</v>
      </c>
      <c r="Y351" t="s">
        <v>4988</v>
      </c>
      <c r="Z351" t="s">
        <v>4989</v>
      </c>
      <c r="AA351" t="s">
        <v>4990</v>
      </c>
      <c r="AB351" t="s">
        <v>4991</v>
      </c>
      <c r="AC351" t="s">
        <v>74</v>
      </c>
      <c r="AD351" t="s">
        <v>74</v>
      </c>
      <c r="AE351" t="s">
        <v>74</v>
      </c>
      <c r="AF351" t="s">
        <v>74</v>
      </c>
      <c r="AG351">
        <v>38</v>
      </c>
      <c r="AH351">
        <v>35</v>
      </c>
      <c r="AI351">
        <v>37</v>
      </c>
      <c r="AJ351">
        <v>0</v>
      </c>
      <c r="AK351">
        <v>4</v>
      </c>
      <c r="AL351" t="s">
        <v>1059</v>
      </c>
      <c r="AM351" t="s">
        <v>1060</v>
      </c>
      <c r="AN351" t="s">
        <v>1061</v>
      </c>
      <c r="AO351" t="s">
        <v>4973</v>
      </c>
      <c r="AP351" t="s">
        <v>4974</v>
      </c>
      <c r="AQ351" t="s">
        <v>74</v>
      </c>
      <c r="AR351" t="s">
        <v>4975</v>
      </c>
      <c r="AS351" t="s">
        <v>4976</v>
      </c>
      <c r="AT351" t="s">
        <v>4977</v>
      </c>
      <c r="AU351">
        <v>2000</v>
      </c>
      <c r="AV351">
        <v>105</v>
      </c>
      <c r="AW351" t="s">
        <v>4978</v>
      </c>
      <c r="AX351" t="s">
        <v>74</v>
      </c>
      <c r="AY351" t="s">
        <v>74</v>
      </c>
      <c r="AZ351" t="s">
        <v>74</v>
      </c>
      <c r="BA351" t="s">
        <v>74</v>
      </c>
      <c r="BB351">
        <v>28279</v>
      </c>
      <c r="BC351">
        <v>28293</v>
      </c>
      <c r="BD351" t="s">
        <v>74</v>
      </c>
      <c r="BE351" t="s">
        <v>4992</v>
      </c>
      <c r="BF351" t="str">
        <f>HYPERLINK("http://dx.doi.org/10.1029/2000JB900285","http://dx.doi.org/10.1029/2000JB900285")</f>
        <v>http://dx.doi.org/10.1029/2000JB900285</v>
      </c>
      <c r="BG351" t="s">
        <v>74</v>
      </c>
      <c r="BH351" t="s">
        <v>74</v>
      </c>
      <c r="BI351">
        <v>15</v>
      </c>
      <c r="BJ351" t="s">
        <v>953</v>
      </c>
      <c r="BK351" t="s">
        <v>94</v>
      </c>
      <c r="BL351" t="s">
        <v>953</v>
      </c>
      <c r="BM351" t="s">
        <v>4980</v>
      </c>
      <c r="BN351" t="s">
        <v>74</v>
      </c>
      <c r="BO351" t="s">
        <v>1755</v>
      </c>
      <c r="BP351" t="s">
        <v>74</v>
      </c>
      <c r="BQ351" t="s">
        <v>74</v>
      </c>
      <c r="BR351" t="s">
        <v>97</v>
      </c>
      <c r="BS351" t="s">
        <v>4993</v>
      </c>
      <c r="BT351" t="str">
        <f>HYPERLINK("https%3A%2F%2Fwww.webofscience.com%2Fwos%2Fwoscc%2Ffull-record%2FWOS:000166117500028","View Full Record in Web of Science")</f>
        <v>View Full Record in Web of Science</v>
      </c>
    </row>
    <row r="352" spans="1:72" x14ac:dyDescent="0.15">
      <c r="A352" t="s">
        <v>72</v>
      </c>
      <c r="B352" t="s">
        <v>4994</v>
      </c>
      <c r="C352" t="s">
        <v>74</v>
      </c>
      <c r="D352" t="s">
        <v>74</v>
      </c>
      <c r="E352" t="s">
        <v>74</v>
      </c>
      <c r="F352" t="s">
        <v>4994</v>
      </c>
      <c r="G352" t="s">
        <v>74</v>
      </c>
      <c r="H352" t="s">
        <v>74</v>
      </c>
      <c r="I352" t="s">
        <v>4995</v>
      </c>
      <c r="J352" t="s">
        <v>4996</v>
      </c>
      <c r="K352" t="s">
        <v>74</v>
      </c>
      <c r="L352" t="s">
        <v>74</v>
      </c>
      <c r="M352" t="s">
        <v>77</v>
      </c>
      <c r="N352" t="s">
        <v>78</v>
      </c>
      <c r="O352" t="s">
        <v>74</v>
      </c>
      <c r="P352" t="s">
        <v>74</v>
      </c>
      <c r="Q352" t="s">
        <v>74</v>
      </c>
      <c r="R352" t="s">
        <v>74</v>
      </c>
      <c r="S352" t="s">
        <v>74</v>
      </c>
      <c r="T352" t="s">
        <v>4997</v>
      </c>
      <c r="U352" t="s">
        <v>4998</v>
      </c>
      <c r="V352" t="s">
        <v>4999</v>
      </c>
      <c r="W352" t="s">
        <v>1344</v>
      </c>
      <c r="X352" t="s">
        <v>1345</v>
      </c>
      <c r="Y352" t="s">
        <v>1346</v>
      </c>
      <c r="Z352" t="s">
        <v>5000</v>
      </c>
      <c r="AA352" t="s">
        <v>74</v>
      </c>
      <c r="AB352" t="s">
        <v>74</v>
      </c>
      <c r="AC352" t="s">
        <v>74</v>
      </c>
      <c r="AD352" t="s">
        <v>74</v>
      </c>
      <c r="AE352" t="s">
        <v>74</v>
      </c>
      <c r="AF352" t="s">
        <v>74</v>
      </c>
      <c r="AG352">
        <v>56</v>
      </c>
      <c r="AH352">
        <v>62</v>
      </c>
      <c r="AI352">
        <v>67</v>
      </c>
      <c r="AJ352">
        <v>0</v>
      </c>
      <c r="AK352">
        <v>8</v>
      </c>
      <c r="AL352" t="s">
        <v>1899</v>
      </c>
      <c r="AM352" t="s">
        <v>1208</v>
      </c>
      <c r="AN352" t="s">
        <v>1900</v>
      </c>
      <c r="AO352" t="s">
        <v>5001</v>
      </c>
      <c r="AP352" t="s">
        <v>74</v>
      </c>
      <c r="AQ352" t="s">
        <v>74</v>
      </c>
      <c r="AR352" t="s">
        <v>5002</v>
      </c>
      <c r="AS352" t="s">
        <v>5003</v>
      </c>
      <c r="AT352" t="s">
        <v>5004</v>
      </c>
      <c r="AU352">
        <v>2000</v>
      </c>
      <c r="AV352">
        <v>304</v>
      </c>
      <c r="AW352">
        <v>4</v>
      </c>
      <c r="AX352" t="s">
        <v>74</v>
      </c>
      <c r="AY352" t="s">
        <v>74</v>
      </c>
      <c r="AZ352" t="s">
        <v>74</v>
      </c>
      <c r="BA352" t="s">
        <v>74</v>
      </c>
      <c r="BB352">
        <v>657</v>
      </c>
      <c r="BC352">
        <v>668</v>
      </c>
      <c r="BD352" t="s">
        <v>74</v>
      </c>
      <c r="BE352" t="s">
        <v>5005</v>
      </c>
      <c r="BF352" t="str">
        <f>HYPERLINK("http://dx.doi.org/10.1006/jmbi.2000.4240","http://dx.doi.org/10.1006/jmbi.2000.4240")</f>
        <v>http://dx.doi.org/10.1006/jmbi.2000.4240</v>
      </c>
      <c r="BG352" t="s">
        <v>74</v>
      </c>
      <c r="BH352" t="s">
        <v>74</v>
      </c>
      <c r="BI352">
        <v>12</v>
      </c>
      <c r="BJ352" t="s">
        <v>820</v>
      </c>
      <c r="BK352" t="s">
        <v>94</v>
      </c>
      <c r="BL352" t="s">
        <v>820</v>
      </c>
      <c r="BM352" t="s">
        <v>5006</v>
      </c>
      <c r="BN352">
        <v>11099387</v>
      </c>
      <c r="BO352" t="s">
        <v>74</v>
      </c>
      <c r="BP352" t="s">
        <v>74</v>
      </c>
      <c r="BQ352" t="s">
        <v>74</v>
      </c>
      <c r="BR352" t="s">
        <v>97</v>
      </c>
      <c r="BS352" t="s">
        <v>5007</v>
      </c>
      <c r="BT352" t="str">
        <f>HYPERLINK("https%3A%2F%2Fwww.webofscience.com%2Fwos%2Fwoscc%2Ffull-record%2FWOS:000165877700013","View Full Record in Web of Science")</f>
        <v>View Full Record in Web of Science</v>
      </c>
    </row>
    <row r="353" spans="1:72" x14ac:dyDescent="0.15">
      <c r="A353" t="s">
        <v>72</v>
      </c>
      <c r="B353" t="s">
        <v>5008</v>
      </c>
      <c r="C353" t="s">
        <v>74</v>
      </c>
      <c r="D353" t="s">
        <v>74</v>
      </c>
      <c r="E353" t="s">
        <v>74</v>
      </c>
      <c r="F353" t="s">
        <v>5008</v>
      </c>
      <c r="G353" t="s">
        <v>74</v>
      </c>
      <c r="H353" t="s">
        <v>74</v>
      </c>
      <c r="I353" t="s">
        <v>5009</v>
      </c>
      <c r="J353" t="s">
        <v>5010</v>
      </c>
      <c r="K353" t="s">
        <v>74</v>
      </c>
      <c r="L353" t="s">
        <v>74</v>
      </c>
      <c r="M353" t="s">
        <v>77</v>
      </c>
      <c r="N353" t="s">
        <v>78</v>
      </c>
      <c r="O353" t="s">
        <v>74</v>
      </c>
      <c r="P353" t="s">
        <v>74</v>
      </c>
      <c r="Q353" t="s">
        <v>74</v>
      </c>
      <c r="R353" t="s">
        <v>74</v>
      </c>
      <c r="S353" t="s">
        <v>74</v>
      </c>
      <c r="T353" t="s">
        <v>74</v>
      </c>
      <c r="U353" t="s">
        <v>74</v>
      </c>
      <c r="V353" t="s">
        <v>5011</v>
      </c>
      <c r="W353" t="s">
        <v>74</v>
      </c>
      <c r="X353" t="s">
        <v>74</v>
      </c>
      <c r="Y353" t="s">
        <v>5012</v>
      </c>
      <c r="Z353" t="s">
        <v>74</v>
      </c>
      <c r="AA353" t="s">
        <v>74</v>
      </c>
      <c r="AB353" t="s">
        <v>74</v>
      </c>
      <c r="AC353" t="s">
        <v>74</v>
      </c>
      <c r="AD353" t="s">
        <v>74</v>
      </c>
      <c r="AE353" t="s">
        <v>74</v>
      </c>
      <c r="AF353" t="s">
        <v>74</v>
      </c>
      <c r="AG353">
        <v>0</v>
      </c>
      <c r="AH353">
        <v>3</v>
      </c>
      <c r="AI353">
        <v>3</v>
      </c>
      <c r="AJ353">
        <v>0</v>
      </c>
      <c r="AK353">
        <v>3</v>
      </c>
      <c r="AL353" t="s">
        <v>5013</v>
      </c>
      <c r="AM353" t="s">
        <v>5014</v>
      </c>
      <c r="AN353" t="s">
        <v>5015</v>
      </c>
      <c r="AO353" t="s">
        <v>5016</v>
      </c>
      <c r="AP353" t="s">
        <v>74</v>
      </c>
      <c r="AQ353" t="s">
        <v>74</v>
      </c>
      <c r="AR353" t="s">
        <v>5017</v>
      </c>
      <c r="AS353" t="s">
        <v>5018</v>
      </c>
      <c r="AT353" t="s">
        <v>5019</v>
      </c>
      <c r="AU353">
        <v>2000</v>
      </c>
      <c r="AV353">
        <v>173</v>
      </c>
      <c r="AW353" t="s">
        <v>293</v>
      </c>
      <c r="AX353" t="s">
        <v>74</v>
      </c>
      <c r="AY353" t="s">
        <v>74</v>
      </c>
      <c r="AZ353" t="s">
        <v>74</v>
      </c>
      <c r="BA353" t="s">
        <v>74</v>
      </c>
      <c r="BB353">
        <v>576</v>
      </c>
      <c r="BC353">
        <v>578</v>
      </c>
      <c r="BD353" t="s">
        <v>74</v>
      </c>
      <c r="BE353" t="s">
        <v>5020</v>
      </c>
      <c r="BF353" t="str">
        <f>HYPERLINK("http://dx.doi.org/10.5694/j.1326-5377.2000.tb139347.x","http://dx.doi.org/10.5694/j.1326-5377.2000.tb139347.x")</f>
        <v>http://dx.doi.org/10.5694/j.1326-5377.2000.tb139347.x</v>
      </c>
      <c r="BG353" t="s">
        <v>74</v>
      </c>
      <c r="BH353" t="s">
        <v>74</v>
      </c>
      <c r="BI353">
        <v>3</v>
      </c>
      <c r="BJ353" t="s">
        <v>5021</v>
      </c>
      <c r="BK353" t="s">
        <v>94</v>
      </c>
      <c r="BL353" t="s">
        <v>5022</v>
      </c>
      <c r="BM353" t="s">
        <v>5023</v>
      </c>
      <c r="BN353">
        <v>11379493</v>
      </c>
      <c r="BO353" t="s">
        <v>74</v>
      </c>
      <c r="BP353" t="s">
        <v>74</v>
      </c>
      <c r="BQ353" t="s">
        <v>74</v>
      </c>
      <c r="BR353" t="s">
        <v>97</v>
      </c>
      <c r="BS353" t="s">
        <v>5024</v>
      </c>
      <c r="BT353" t="str">
        <f>HYPERLINK("https%3A%2F%2Fwww.webofscience.com%2Fwos%2Fwoscc%2Ffull-record%2FWOS:000165883100005","View Full Record in Web of Science")</f>
        <v>View Full Record in Web of Science</v>
      </c>
    </row>
    <row r="354" spans="1:72" x14ac:dyDescent="0.15">
      <c r="A354" t="s">
        <v>72</v>
      </c>
      <c r="B354" t="s">
        <v>5025</v>
      </c>
      <c r="C354" t="s">
        <v>74</v>
      </c>
      <c r="D354" t="s">
        <v>74</v>
      </c>
      <c r="E354" t="s">
        <v>74</v>
      </c>
      <c r="F354" t="s">
        <v>5025</v>
      </c>
      <c r="G354" t="s">
        <v>74</v>
      </c>
      <c r="H354" t="s">
        <v>74</v>
      </c>
      <c r="I354" t="s">
        <v>5026</v>
      </c>
      <c r="J354" t="s">
        <v>5027</v>
      </c>
      <c r="K354" t="s">
        <v>74</v>
      </c>
      <c r="L354" t="s">
        <v>74</v>
      </c>
      <c r="M354" t="s">
        <v>77</v>
      </c>
      <c r="N354" t="s">
        <v>52</v>
      </c>
      <c r="O354" t="s">
        <v>74</v>
      </c>
      <c r="P354" t="s">
        <v>74</v>
      </c>
      <c r="Q354" t="s">
        <v>74</v>
      </c>
      <c r="R354" t="s">
        <v>74</v>
      </c>
      <c r="S354" t="s">
        <v>74</v>
      </c>
      <c r="T354" t="s">
        <v>74</v>
      </c>
      <c r="U354" t="s">
        <v>74</v>
      </c>
      <c r="V354" t="s">
        <v>74</v>
      </c>
      <c r="W354" t="s">
        <v>5028</v>
      </c>
      <c r="X354" t="s">
        <v>5029</v>
      </c>
      <c r="Y354" t="s">
        <v>74</v>
      </c>
      <c r="Z354" t="s">
        <v>74</v>
      </c>
      <c r="AA354" t="s">
        <v>74</v>
      </c>
      <c r="AB354" t="s">
        <v>74</v>
      </c>
      <c r="AC354" t="s">
        <v>74</v>
      </c>
      <c r="AD354" t="s">
        <v>74</v>
      </c>
      <c r="AE354" t="s">
        <v>74</v>
      </c>
      <c r="AF354" t="s">
        <v>74</v>
      </c>
      <c r="AG354">
        <v>0</v>
      </c>
      <c r="AH354">
        <v>2</v>
      </c>
      <c r="AI354">
        <v>2</v>
      </c>
      <c r="AJ354">
        <v>0</v>
      </c>
      <c r="AK354">
        <v>4</v>
      </c>
      <c r="AL354" t="s">
        <v>5030</v>
      </c>
      <c r="AM354" t="s">
        <v>5031</v>
      </c>
      <c r="AN354" t="s">
        <v>5032</v>
      </c>
      <c r="AO354" t="s">
        <v>5033</v>
      </c>
      <c r="AP354" t="s">
        <v>74</v>
      </c>
      <c r="AQ354" t="s">
        <v>74</v>
      </c>
      <c r="AR354" t="s">
        <v>5034</v>
      </c>
      <c r="AS354" t="s">
        <v>5035</v>
      </c>
      <c r="AT354" t="s">
        <v>5036</v>
      </c>
      <c r="AU354">
        <v>2000</v>
      </c>
      <c r="AV354">
        <v>40</v>
      </c>
      <c r="AW354">
        <v>6</v>
      </c>
      <c r="AX354" t="s">
        <v>74</v>
      </c>
      <c r="AY354" t="s">
        <v>74</v>
      </c>
      <c r="AZ354" t="s">
        <v>74</v>
      </c>
      <c r="BA354" t="s">
        <v>74</v>
      </c>
      <c r="BB354">
        <v>972</v>
      </c>
      <c r="BC354">
        <v>973</v>
      </c>
      <c r="BD354" t="s">
        <v>74</v>
      </c>
      <c r="BE354" t="s">
        <v>74</v>
      </c>
      <c r="BF354" t="s">
        <v>74</v>
      </c>
      <c r="BG354" t="s">
        <v>74</v>
      </c>
      <c r="BH354" t="s">
        <v>74</v>
      </c>
      <c r="BI354">
        <v>2</v>
      </c>
      <c r="BJ354" t="s">
        <v>206</v>
      </c>
      <c r="BK354" t="s">
        <v>94</v>
      </c>
      <c r="BL354" t="s">
        <v>206</v>
      </c>
      <c r="BM354" t="s">
        <v>5037</v>
      </c>
      <c r="BN354" t="s">
        <v>74</v>
      </c>
      <c r="BO354" t="s">
        <v>74</v>
      </c>
      <c r="BP354" t="s">
        <v>74</v>
      </c>
      <c r="BQ354" t="s">
        <v>74</v>
      </c>
      <c r="BR354" t="s">
        <v>97</v>
      </c>
      <c r="BS354" t="s">
        <v>5038</v>
      </c>
      <c r="BT354" t="str">
        <f>HYPERLINK("https%3A%2F%2Fwww.webofscience.com%2Fwos%2Fwoscc%2Ffull-record%2FWOS:000168132000133","View Full Record in Web of Science")</f>
        <v>View Full Record in Web of Science</v>
      </c>
    </row>
    <row r="355" spans="1:72" x14ac:dyDescent="0.15">
      <c r="A355" t="s">
        <v>72</v>
      </c>
      <c r="B355" t="s">
        <v>5039</v>
      </c>
      <c r="C355" t="s">
        <v>74</v>
      </c>
      <c r="D355" t="s">
        <v>74</v>
      </c>
      <c r="E355" t="s">
        <v>74</v>
      </c>
      <c r="F355" t="s">
        <v>5039</v>
      </c>
      <c r="G355" t="s">
        <v>74</v>
      </c>
      <c r="H355" t="s">
        <v>74</v>
      </c>
      <c r="I355" t="s">
        <v>5040</v>
      </c>
      <c r="J355" t="s">
        <v>5027</v>
      </c>
      <c r="K355" t="s">
        <v>74</v>
      </c>
      <c r="L355" t="s">
        <v>74</v>
      </c>
      <c r="M355" t="s">
        <v>77</v>
      </c>
      <c r="N355" t="s">
        <v>52</v>
      </c>
      <c r="O355" t="s">
        <v>74</v>
      </c>
      <c r="P355" t="s">
        <v>74</v>
      </c>
      <c r="Q355" t="s">
        <v>74</v>
      </c>
      <c r="R355" t="s">
        <v>74</v>
      </c>
      <c r="S355" t="s">
        <v>74</v>
      </c>
      <c r="T355" t="s">
        <v>74</v>
      </c>
      <c r="U355" t="s">
        <v>74</v>
      </c>
      <c r="V355" t="s">
        <v>74</v>
      </c>
      <c r="W355" t="s">
        <v>5041</v>
      </c>
      <c r="X355" t="s">
        <v>5042</v>
      </c>
      <c r="Y355" t="s">
        <v>74</v>
      </c>
      <c r="Z355" t="s">
        <v>74</v>
      </c>
      <c r="AA355" t="s">
        <v>74</v>
      </c>
      <c r="AB355" t="s">
        <v>74</v>
      </c>
      <c r="AC355" t="s">
        <v>74</v>
      </c>
      <c r="AD355" t="s">
        <v>74</v>
      </c>
      <c r="AE355" t="s">
        <v>74</v>
      </c>
      <c r="AF355" t="s">
        <v>74</v>
      </c>
      <c r="AG355">
        <v>0</v>
      </c>
      <c r="AH355">
        <v>1</v>
      </c>
      <c r="AI355">
        <v>1</v>
      </c>
      <c r="AJ355">
        <v>0</v>
      </c>
      <c r="AK355">
        <v>11</v>
      </c>
      <c r="AL355" t="s">
        <v>5030</v>
      </c>
      <c r="AM355" t="s">
        <v>5031</v>
      </c>
      <c r="AN355" t="s">
        <v>5032</v>
      </c>
      <c r="AO355" t="s">
        <v>5033</v>
      </c>
      <c r="AP355" t="s">
        <v>74</v>
      </c>
      <c r="AQ355" t="s">
        <v>74</v>
      </c>
      <c r="AR355" t="s">
        <v>5034</v>
      </c>
      <c r="AS355" t="s">
        <v>5035</v>
      </c>
      <c r="AT355" t="s">
        <v>5036</v>
      </c>
      <c r="AU355">
        <v>2000</v>
      </c>
      <c r="AV355">
        <v>40</v>
      </c>
      <c r="AW355">
        <v>6</v>
      </c>
      <c r="AX355" t="s">
        <v>74</v>
      </c>
      <c r="AY355" t="s">
        <v>74</v>
      </c>
      <c r="AZ355" t="s">
        <v>74</v>
      </c>
      <c r="BA355" t="s">
        <v>74</v>
      </c>
      <c r="BB355">
        <v>997</v>
      </c>
      <c r="BC355">
        <v>997</v>
      </c>
      <c r="BD355" t="s">
        <v>74</v>
      </c>
      <c r="BE355" t="s">
        <v>74</v>
      </c>
      <c r="BF355" t="s">
        <v>74</v>
      </c>
      <c r="BG355" t="s">
        <v>74</v>
      </c>
      <c r="BH355" t="s">
        <v>74</v>
      </c>
      <c r="BI355">
        <v>1</v>
      </c>
      <c r="BJ355" t="s">
        <v>206</v>
      </c>
      <c r="BK355" t="s">
        <v>94</v>
      </c>
      <c r="BL355" t="s">
        <v>206</v>
      </c>
      <c r="BM355" t="s">
        <v>5037</v>
      </c>
      <c r="BN355" t="s">
        <v>74</v>
      </c>
      <c r="BO355" t="s">
        <v>74</v>
      </c>
      <c r="BP355" t="s">
        <v>74</v>
      </c>
      <c r="BQ355" t="s">
        <v>74</v>
      </c>
      <c r="BR355" t="s">
        <v>97</v>
      </c>
      <c r="BS355" t="s">
        <v>5043</v>
      </c>
      <c r="BT355" t="str">
        <f>HYPERLINK("https%3A%2F%2Fwww.webofscience.com%2Fwos%2Fwoscc%2Ffull-record%2FWOS:000168132000194","View Full Record in Web of Science")</f>
        <v>View Full Record in Web of Science</v>
      </c>
    </row>
    <row r="356" spans="1:72" x14ac:dyDescent="0.15">
      <c r="A356" t="s">
        <v>72</v>
      </c>
      <c r="B356" t="s">
        <v>5044</v>
      </c>
      <c r="C356" t="s">
        <v>74</v>
      </c>
      <c r="D356" t="s">
        <v>74</v>
      </c>
      <c r="E356" t="s">
        <v>74</v>
      </c>
      <c r="F356" t="s">
        <v>5044</v>
      </c>
      <c r="G356" t="s">
        <v>74</v>
      </c>
      <c r="H356" t="s">
        <v>74</v>
      </c>
      <c r="I356" t="s">
        <v>5045</v>
      </c>
      <c r="J356" t="s">
        <v>5027</v>
      </c>
      <c r="K356" t="s">
        <v>74</v>
      </c>
      <c r="L356" t="s">
        <v>74</v>
      </c>
      <c r="M356" t="s">
        <v>77</v>
      </c>
      <c r="N356" t="s">
        <v>52</v>
      </c>
      <c r="O356" t="s">
        <v>74</v>
      </c>
      <c r="P356" t="s">
        <v>74</v>
      </c>
      <c r="Q356" t="s">
        <v>74</v>
      </c>
      <c r="R356" t="s">
        <v>74</v>
      </c>
      <c r="S356" t="s">
        <v>74</v>
      </c>
      <c r="T356" t="s">
        <v>74</v>
      </c>
      <c r="U356" t="s">
        <v>74</v>
      </c>
      <c r="V356" t="s">
        <v>74</v>
      </c>
      <c r="W356" t="s">
        <v>5046</v>
      </c>
      <c r="X356" t="s">
        <v>5047</v>
      </c>
      <c r="Y356" t="s">
        <v>74</v>
      </c>
      <c r="Z356" t="s">
        <v>74</v>
      </c>
      <c r="AA356" t="s">
        <v>74</v>
      </c>
      <c r="AB356" t="s">
        <v>74</v>
      </c>
      <c r="AC356" t="s">
        <v>74</v>
      </c>
      <c r="AD356" t="s">
        <v>74</v>
      </c>
      <c r="AE356" t="s">
        <v>74</v>
      </c>
      <c r="AF356" t="s">
        <v>74</v>
      </c>
      <c r="AG356">
        <v>0</v>
      </c>
      <c r="AH356">
        <v>0</v>
      </c>
      <c r="AI356">
        <v>0</v>
      </c>
      <c r="AJ356">
        <v>0</v>
      </c>
      <c r="AK356">
        <v>0</v>
      </c>
      <c r="AL356" t="s">
        <v>5030</v>
      </c>
      <c r="AM356" t="s">
        <v>5031</v>
      </c>
      <c r="AN356" t="s">
        <v>5032</v>
      </c>
      <c r="AO356" t="s">
        <v>5033</v>
      </c>
      <c r="AP356" t="s">
        <v>74</v>
      </c>
      <c r="AQ356" t="s">
        <v>74</v>
      </c>
      <c r="AR356" t="s">
        <v>5034</v>
      </c>
      <c r="AS356" t="s">
        <v>5035</v>
      </c>
      <c r="AT356" t="s">
        <v>5036</v>
      </c>
      <c r="AU356">
        <v>2000</v>
      </c>
      <c r="AV356">
        <v>40</v>
      </c>
      <c r="AW356">
        <v>6</v>
      </c>
      <c r="AX356" t="s">
        <v>74</v>
      </c>
      <c r="AY356" t="s">
        <v>74</v>
      </c>
      <c r="AZ356" t="s">
        <v>74</v>
      </c>
      <c r="BA356" t="s">
        <v>74</v>
      </c>
      <c r="BB356">
        <v>1036</v>
      </c>
      <c r="BC356">
        <v>1036</v>
      </c>
      <c r="BD356" t="s">
        <v>74</v>
      </c>
      <c r="BE356" t="s">
        <v>74</v>
      </c>
      <c r="BF356" t="s">
        <v>74</v>
      </c>
      <c r="BG356" t="s">
        <v>74</v>
      </c>
      <c r="BH356" t="s">
        <v>74</v>
      </c>
      <c r="BI356">
        <v>1</v>
      </c>
      <c r="BJ356" t="s">
        <v>206</v>
      </c>
      <c r="BK356" t="s">
        <v>94</v>
      </c>
      <c r="BL356" t="s">
        <v>206</v>
      </c>
      <c r="BM356" t="s">
        <v>5037</v>
      </c>
      <c r="BN356" t="s">
        <v>74</v>
      </c>
      <c r="BO356" t="s">
        <v>74</v>
      </c>
      <c r="BP356" t="s">
        <v>74</v>
      </c>
      <c r="BQ356" t="s">
        <v>74</v>
      </c>
      <c r="BR356" t="s">
        <v>97</v>
      </c>
      <c r="BS356" t="s">
        <v>5048</v>
      </c>
      <c r="BT356" t="str">
        <f>HYPERLINK("https%3A%2F%2Fwww.webofscience.com%2Fwos%2Fwoscc%2Ffull-record%2FWOS:000168132000295","View Full Record in Web of Science")</f>
        <v>View Full Record in Web of Science</v>
      </c>
    </row>
    <row r="357" spans="1:72" x14ac:dyDescent="0.15">
      <c r="A357" t="s">
        <v>72</v>
      </c>
      <c r="B357" t="s">
        <v>5049</v>
      </c>
      <c r="C357" t="s">
        <v>74</v>
      </c>
      <c r="D357" t="s">
        <v>74</v>
      </c>
      <c r="E357" t="s">
        <v>74</v>
      </c>
      <c r="F357" t="s">
        <v>5049</v>
      </c>
      <c r="G357" t="s">
        <v>74</v>
      </c>
      <c r="H357" t="s">
        <v>74</v>
      </c>
      <c r="I357" t="s">
        <v>5050</v>
      </c>
      <c r="J357" t="s">
        <v>5027</v>
      </c>
      <c r="K357" t="s">
        <v>74</v>
      </c>
      <c r="L357" t="s">
        <v>74</v>
      </c>
      <c r="M357" t="s">
        <v>77</v>
      </c>
      <c r="N357" t="s">
        <v>52</v>
      </c>
      <c r="O357" t="s">
        <v>74</v>
      </c>
      <c r="P357" t="s">
        <v>74</v>
      </c>
      <c r="Q357" t="s">
        <v>74</v>
      </c>
      <c r="R357" t="s">
        <v>74</v>
      </c>
      <c r="S357" t="s">
        <v>74</v>
      </c>
      <c r="T357" t="s">
        <v>74</v>
      </c>
      <c r="U357" t="s">
        <v>74</v>
      </c>
      <c r="V357" t="s">
        <v>74</v>
      </c>
      <c r="W357" t="s">
        <v>5051</v>
      </c>
      <c r="X357" t="s">
        <v>5052</v>
      </c>
      <c r="Y357" t="s">
        <v>74</v>
      </c>
      <c r="Z357" t="s">
        <v>74</v>
      </c>
      <c r="AA357" t="s">
        <v>74</v>
      </c>
      <c r="AB357" t="s">
        <v>74</v>
      </c>
      <c r="AC357" t="s">
        <v>74</v>
      </c>
      <c r="AD357" t="s">
        <v>74</v>
      </c>
      <c r="AE357" t="s">
        <v>74</v>
      </c>
      <c r="AF357" t="s">
        <v>74</v>
      </c>
      <c r="AG357">
        <v>0</v>
      </c>
      <c r="AH357">
        <v>0</v>
      </c>
      <c r="AI357">
        <v>0</v>
      </c>
      <c r="AJ357">
        <v>0</v>
      </c>
      <c r="AK357">
        <v>0</v>
      </c>
      <c r="AL357" t="s">
        <v>5030</v>
      </c>
      <c r="AM357" t="s">
        <v>5031</v>
      </c>
      <c r="AN357" t="s">
        <v>5032</v>
      </c>
      <c r="AO357" t="s">
        <v>5033</v>
      </c>
      <c r="AP357" t="s">
        <v>74</v>
      </c>
      <c r="AQ357" t="s">
        <v>74</v>
      </c>
      <c r="AR357" t="s">
        <v>5034</v>
      </c>
      <c r="AS357" t="s">
        <v>5035</v>
      </c>
      <c r="AT357" t="s">
        <v>5036</v>
      </c>
      <c r="AU357">
        <v>2000</v>
      </c>
      <c r="AV357">
        <v>40</v>
      </c>
      <c r="AW357">
        <v>6</v>
      </c>
      <c r="AX357" t="s">
        <v>74</v>
      </c>
      <c r="AY357" t="s">
        <v>74</v>
      </c>
      <c r="AZ357" t="s">
        <v>74</v>
      </c>
      <c r="BA357" t="s">
        <v>74</v>
      </c>
      <c r="BB357">
        <v>1068</v>
      </c>
      <c r="BC357">
        <v>1068</v>
      </c>
      <c r="BD357" t="s">
        <v>74</v>
      </c>
      <c r="BE357" t="s">
        <v>74</v>
      </c>
      <c r="BF357" t="s">
        <v>74</v>
      </c>
      <c r="BG357" t="s">
        <v>74</v>
      </c>
      <c r="BH357" t="s">
        <v>74</v>
      </c>
      <c r="BI357">
        <v>1</v>
      </c>
      <c r="BJ357" t="s">
        <v>206</v>
      </c>
      <c r="BK357" t="s">
        <v>94</v>
      </c>
      <c r="BL357" t="s">
        <v>206</v>
      </c>
      <c r="BM357" t="s">
        <v>5037</v>
      </c>
      <c r="BN357" t="s">
        <v>74</v>
      </c>
      <c r="BO357" t="s">
        <v>74</v>
      </c>
      <c r="BP357" t="s">
        <v>74</v>
      </c>
      <c r="BQ357" t="s">
        <v>74</v>
      </c>
      <c r="BR357" t="s">
        <v>97</v>
      </c>
      <c r="BS357" t="s">
        <v>5053</v>
      </c>
      <c r="BT357" t="str">
        <f>HYPERLINK("https%3A%2F%2Fwww.webofscience.com%2Fwos%2Fwoscc%2Ffull-record%2FWOS:000168132000374","View Full Record in Web of Science")</f>
        <v>View Full Record in Web of Science</v>
      </c>
    </row>
    <row r="358" spans="1:72" x14ac:dyDescent="0.15">
      <c r="A358" t="s">
        <v>72</v>
      </c>
      <c r="B358" t="s">
        <v>5054</v>
      </c>
      <c r="C358" t="s">
        <v>74</v>
      </c>
      <c r="D358" t="s">
        <v>74</v>
      </c>
      <c r="E358" t="s">
        <v>74</v>
      </c>
      <c r="F358" t="s">
        <v>5054</v>
      </c>
      <c r="G358" t="s">
        <v>74</v>
      </c>
      <c r="H358" t="s">
        <v>74</v>
      </c>
      <c r="I358" t="s">
        <v>5055</v>
      </c>
      <c r="J358" t="s">
        <v>5027</v>
      </c>
      <c r="K358" t="s">
        <v>74</v>
      </c>
      <c r="L358" t="s">
        <v>74</v>
      </c>
      <c r="M358" t="s">
        <v>77</v>
      </c>
      <c r="N358" t="s">
        <v>52</v>
      </c>
      <c r="O358" t="s">
        <v>74</v>
      </c>
      <c r="P358" t="s">
        <v>74</v>
      </c>
      <c r="Q358" t="s">
        <v>74</v>
      </c>
      <c r="R358" t="s">
        <v>74</v>
      </c>
      <c r="S358" t="s">
        <v>74</v>
      </c>
      <c r="T358" t="s">
        <v>74</v>
      </c>
      <c r="U358" t="s">
        <v>74</v>
      </c>
      <c r="V358" t="s">
        <v>74</v>
      </c>
      <c r="W358" t="s">
        <v>5028</v>
      </c>
      <c r="X358" t="s">
        <v>5029</v>
      </c>
      <c r="Y358" t="s">
        <v>74</v>
      </c>
      <c r="Z358" t="s">
        <v>74</v>
      </c>
      <c r="AA358" t="s">
        <v>5056</v>
      </c>
      <c r="AB358" t="s">
        <v>5057</v>
      </c>
      <c r="AC358" t="s">
        <v>74</v>
      </c>
      <c r="AD358" t="s">
        <v>74</v>
      </c>
      <c r="AE358" t="s">
        <v>74</v>
      </c>
      <c r="AF358" t="s">
        <v>74</v>
      </c>
      <c r="AG358">
        <v>0</v>
      </c>
      <c r="AH358">
        <v>0</v>
      </c>
      <c r="AI358">
        <v>0</v>
      </c>
      <c r="AJ358">
        <v>0</v>
      </c>
      <c r="AK358">
        <v>3</v>
      </c>
      <c r="AL358" t="s">
        <v>5030</v>
      </c>
      <c r="AM358" t="s">
        <v>5031</v>
      </c>
      <c r="AN358" t="s">
        <v>5032</v>
      </c>
      <c r="AO358" t="s">
        <v>5033</v>
      </c>
      <c r="AP358" t="s">
        <v>74</v>
      </c>
      <c r="AQ358" t="s">
        <v>74</v>
      </c>
      <c r="AR358" t="s">
        <v>5034</v>
      </c>
      <c r="AS358" t="s">
        <v>5035</v>
      </c>
      <c r="AT358" t="s">
        <v>5036</v>
      </c>
      <c r="AU358">
        <v>2000</v>
      </c>
      <c r="AV358">
        <v>40</v>
      </c>
      <c r="AW358">
        <v>6</v>
      </c>
      <c r="AX358" t="s">
        <v>74</v>
      </c>
      <c r="AY358" t="s">
        <v>74</v>
      </c>
      <c r="AZ358" t="s">
        <v>74</v>
      </c>
      <c r="BA358" t="s">
        <v>74</v>
      </c>
      <c r="BB358">
        <v>1086</v>
      </c>
      <c r="BC358">
        <v>1087</v>
      </c>
      <c r="BD358" t="s">
        <v>74</v>
      </c>
      <c r="BE358" t="s">
        <v>74</v>
      </c>
      <c r="BF358" t="s">
        <v>74</v>
      </c>
      <c r="BG358" t="s">
        <v>74</v>
      </c>
      <c r="BH358" t="s">
        <v>74</v>
      </c>
      <c r="BI358">
        <v>2</v>
      </c>
      <c r="BJ358" t="s">
        <v>206</v>
      </c>
      <c r="BK358" t="s">
        <v>94</v>
      </c>
      <c r="BL358" t="s">
        <v>206</v>
      </c>
      <c r="BM358" t="s">
        <v>5037</v>
      </c>
      <c r="BN358" t="s">
        <v>74</v>
      </c>
      <c r="BO358" t="s">
        <v>74</v>
      </c>
      <c r="BP358" t="s">
        <v>74</v>
      </c>
      <c r="BQ358" t="s">
        <v>74</v>
      </c>
      <c r="BR358" t="s">
        <v>97</v>
      </c>
      <c r="BS358" t="s">
        <v>5058</v>
      </c>
      <c r="BT358" t="str">
        <f>HYPERLINK("https%3A%2F%2Fwww.webofscience.com%2Fwos%2Fwoscc%2Ffull-record%2FWOS:000168132000423","View Full Record in Web of Science")</f>
        <v>View Full Record in Web of Science</v>
      </c>
    </row>
    <row r="359" spans="1:72" x14ac:dyDescent="0.15">
      <c r="A359" t="s">
        <v>72</v>
      </c>
      <c r="B359" t="s">
        <v>5059</v>
      </c>
      <c r="C359" t="s">
        <v>74</v>
      </c>
      <c r="D359" t="s">
        <v>74</v>
      </c>
      <c r="E359" t="s">
        <v>74</v>
      </c>
      <c r="F359" t="s">
        <v>5059</v>
      </c>
      <c r="G359" t="s">
        <v>74</v>
      </c>
      <c r="H359" t="s">
        <v>74</v>
      </c>
      <c r="I359" t="s">
        <v>5060</v>
      </c>
      <c r="J359" t="s">
        <v>5027</v>
      </c>
      <c r="K359" t="s">
        <v>74</v>
      </c>
      <c r="L359" t="s">
        <v>74</v>
      </c>
      <c r="M359" t="s">
        <v>77</v>
      </c>
      <c r="N359" t="s">
        <v>52</v>
      </c>
      <c r="O359" t="s">
        <v>74</v>
      </c>
      <c r="P359" t="s">
        <v>74</v>
      </c>
      <c r="Q359" t="s">
        <v>74</v>
      </c>
      <c r="R359" t="s">
        <v>74</v>
      </c>
      <c r="S359" t="s">
        <v>74</v>
      </c>
      <c r="T359" t="s">
        <v>74</v>
      </c>
      <c r="U359" t="s">
        <v>74</v>
      </c>
      <c r="V359" t="s">
        <v>74</v>
      </c>
      <c r="W359" t="s">
        <v>5061</v>
      </c>
      <c r="X359" t="s">
        <v>5062</v>
      </c>
      <c r="Y359" t="s">
        <v>74</v>
      </c>
      <c r="Z359" t="s">
        <v>74</v>
      </c>
      <c r="AA359" t="s">
        <v>5063</v>
      </c>
      <c r="AB359" t="s">
        <v>74</v>
      </c>
      <c r="AC359" t="s">
        <v>74</v>
      </c>
      <c r="AD359" t="s">
        <v>74</v>
      </c>
      <c r="AE359" t="s">
        <v>74</v>
      </c>
      <c r="AF359" t="s">
        <v>74</v>
      </c>
      <c r="AG359">
        <v>0</v>
      </c>
      <c r="AH359">
        <v>1</v>
      </c>
      <c r="AI359">
        <v>1</v>
      </c>
      <c r="AJ359">
        <v>0</v>
      </c>
      <c r="AK359">
        <v>0</v>
      </c>
      <c r="AL359" t="s">
        <v>5030</v>
      </c>
      <c r="AM359" t="s">
        <v>5031</v>
      </c>
      <c r="AN359" t="s">
        <v>5032</v>
      </c>
      <c r="AO359" t="s">
        <v>5033</v>
      </c>
      <c r="AP359" t="s">
        <v>74</v>
      </c>
      <c r="AQ359" t="s">
        <v>74</v>
      </c>
      <c r="AR359" t="s">
        <v>5034</v>
      </c>
      <c r="AS359" t="s">
        <v>5035</v>
      </c>
      <c r="AT359" t="s">
        <v>5036</v>
      </c>
      <c r="AU359">
        <v>2000</v>
      </c>
      <c r="AV359">
        <v>40</v>
      </c>
      <c r="AW359">
        <v>6</v>
      </c>
      <c r="AX359" t="s">
        <v>74</v>
      </c>
      <c r="AY359" t="s">
        <v>74</v>
      </c>
      <c r="AZ359" t="s">
        <v>74</v>
      </c>
      <c r="BA359" t="s">
        <v>74</v>
      </c>
      <c r="BB359">
        <v>1114</v>
      </c>
      <c r="BC359">
        <v>1114</v>
      </c>
      <c r="BD359" t="s">
        <v>74</v>
      </c>
      <c r="BE359" t="s">
        <v>74</v>
      </c>
      <c r="BF359" t="s">
        <v>74</v>
      </c>
      <c r="BG359" t="s">
        <v>74</v>
      </c>
      <c r="BH359" t="s">
        <v>74</v>
      </c>
      <c r="BI359">
        <v>1</v>
      </c>
      <c r="BJ359" t="s">
        <v>206</v>
      </c>
      <c r="BK359" t="s">
        <v>94</v>
      </c>
      <c r="BL359" t="s">
        <v>206</v>
      </c>
      <c r="BM359" t="s">
        <v>5037</v>
      </c>
      <c r="BN359" t="s">
        <v>74</v>
      </c>
      <c r="BO359" t="s">
        <v>74</v>
      </c>
      <c r="BP359" t="s">
        <v>74</v>
      </c>
      <c r="BQ359" t="s">
        <v>74</v>
      </c>
      <c r="BR359" t="s">
        <v>97</v>
      </c>
      <c r="BS359" t="s">
        <v>5064</v>
      </c>
      <c r="BT359" t="str">
        <f>HYPERLINK("https%3A%2F%2Fwww.webofscience.com%2Fwos%2Fwoscc%2Ffull-record%2FWOS:000168132000492","View Full Record in Web of Science")</f>
        <v>View Full Record in Web of Science</v>
      </c>
    </row>
    <row r="360" spans="1:72" x14ac:dyDescent="0.15">
      <c r="A360" t="s">
        <v>72</v>
      </c>
      <c r="B360" t="s">
        <v>5065</v>
      </c>
      <c r="C360" t="s">
        <v>74</v>
      </c>
      <c r="D360" t="s">
        <v>74</v>
      </c>
      <c r="E360" t="s">
        <v>74</v>
      </c>
      <c r="F360" t="s">
        <v>5065</v>
      </c>
      <c r="G360" t="s">
        <v>74</v>
      </c>
      <c r="H360" t="s">
        <v>74</v>
      </c>
      <c r="I360" t="s">
        <v>5066</v>
      </c>
      <c r="J360" t="s">
        <v>5027</v>
      </c>
      <c r="K360" t="s">
        <v>74</v>
      </c>
      <c r="L360" t="s">
        <v>74</v>
      </c>
      <c r="M360" t="s">
        <v>77</v>
      </c>
      <c r="N360" t="s">
        <v>52</v>
      </c>
      <c r="O360" t="s">
        <v>74</v>
      </c>
      <c r="P360" t="s">
        <v>74</v>
      </c>
      <c r="Q360" t="s">
        <v>74</v>
      </c>
      <c r="R360" t="s">
        <v>74</v>
      </c>
      <c r="S360" t="s">
        <v>74</v>
      </c>
      <c r="T360" t="s">
        <v>74</v>
      </c>
      <c r="U360" t="s">
        <v>74</v>
      </c>
      <c r="V360" t="s">
        <v>74</v>
      </c>
      <c r="W360" t="s">
        <v>5067</v>
      </c>
      <c r="X360" t="s">
        <v>5068</v>
      </c>
      <c r="Y360" t="s">
        <v>74</v>
      </c>
      <c r="Z360" t="s">
        <v>74</v>
      </c>
      <c r="AA360" t="s">
        <v>74</v>
      </c>
      <c r="AB360" t="s">
        <v>74</v>
      </c>
      <c r="AC360" t="s">
        <v>74</v>
      </c>
      <c r="AD360" t="s">
        <v>74</v>
      </c>
      <c r="AE360" t="s">
        <v>74</v>
      </c>
      <c r="AF360" t="s">
        <v>74</v>
      </c>
      <c r="AG360">
        <v>0</v>
      </c>
      <c r="AH360">
        <v>0</v>
      </c>
      <c r="AI360">
        <v>0</v>
      </c>
      <c r="AJ360">
        <v>0</v>
      </c>
      <c r="AK360">
        <v>0</v>
      </c>
      <c r="AL360" t="s">
        <v>5030</v>
      </c>
      <c r="AM360" t="s">
        <v>5031</v>
      </c>
      <c r="AN360" t="s">
        <v>5032</v>
      </c>
      <c r="AO360" t="s">
        <v>5033</v>
      </c>
      <c r="AP360" t="s">
        <v>74</v>
      </c>
      <c r="AQ360" t="s">
        <v>74</v>
      </c>
      <c r="AR360" t="s">
        <v>5034</v>
      </c>
      <c r="AS360" t="s">
        <v>5035</v>
      </c>
      <c r="AT360" t="s">
        <v>5036</v>
      </c>
      <c r="AU360">
        <v>2000</v>
      </c>
      <c r="AV360">
        <v>40</v>
      </c>
      <c r="AW360">
        <v>6</v>
      </c>
      <c r="AX360" t="s">
        <v>74</v>
      </c>
      <c r="AY360" t="s">
        <v>74</v>
      </c>
      <c r="AZ360" t="s">
        <v>74</v>
      </c>
      <c r="BA360" t="s">
        <v>74</v>
      </c>
      <c r="BB360">
        <v>1169</v>
      </c>
      <c r="BC360">
        <v>1170</v>
      </c>
      <c r="BD360" t="s">
        <v>74</v>
      </c>
      <c r="BE360" t="s">
        <v>74</v>
      </c>
      <c r="BF360" t="s">
        <v>74</v>
      </c>
      <c r="BG360" t="s">
        <v>74</v>
      </c>
      <c r="BH360" t="s">
        <v>74</v>
      </c>
      <c r="BI360">
        <v>2</v>
      </c>
      <c r="BJ360" t="s">
        <v>206</v>
      </c>
      <c r="BK360" t="s">
        <v>94</v>
      </c>
      <c r="BL360" t="s">
        <v>206</v>
      </c>
      <c r="BM360" t="s">
        <v>5037</v>
      </c>
      <c r="BN360" t="s">
        <v>74</v>
      </c>
      <c r="BO360" t="s">
        <v>74</v>
      </c>
      <c r="BP360" t="s">
        <v>74</v>
      </c>
      <c r="BQ360" t="s">
        <v>74</v>
      </c>
      <c r="BR360" t="s">
        <v>97</v>
      </c>
      <c r="BS360" t="s">
        <v>5069</v>
      </c>
      <c r="BT360" t="str">
        <f>HYPERLINK("https%3A%2F%2Fwww.webofscience.com%2Fwos%2Fwoscc%2Ffull-record%2FWOS:000168132000628","View Full Record in Web of Science")</f>
        <v>View Full Record in Web of Science</v>
      </c>
    </row>
    <row r="361" spans="1:72" x14ac:dyDescent="0.15">
      <c r="A361" t="s">
        <v>72</v>
      </c>
      <c r="B361" t="s">
        <v>5070</v>
      </c>
      <c r="C361" t="s">
        <v>74</v>
      </c>
      <c r="D361" t="s">
        <v>74</v>
      </c>
      <c r="E361" t="s">
        <v>74</v>
      </c>
      <c r="F361" t="s">
        <v>5070</v>
      </c>
      <c r="G361" t="s">
        <v>74</v>
      </c>
      <c r="H361" t="s">
        <v>74</v>
      </c>
      <c r="I361" t="s">
        <v>5071</v>
      </c>
      <c r="J361" t="s">
        <v>5027</v>
      </c>
      <c r="K361" t="s">
        <v>74</v>
      </c>
      <c r="L361" t="s">
        <v>74</v>
      </c>
      <c r="M361" t="s">
        <v>77</v>
      </c>
      <c r="N361" t="s">
        <v>52</v>
      </c>
      <c r="O361" t="s">
        <v>74</v>
      </c>
      <c r="P361" t="s">
        <v>74</v>
      </c>
      <c r="Q361" t="s">
        <v>74</v>
      </c>
      <c r="R361" t="s">
        <v>74</v>
      </c>
      <c r="S361" t="s">
        <v>74</v>
      </c>
      <c r="T361" t="s">
        <v>74</v>
      </c>
      <c r="U361" t="s">
        <v>74</v>
      </c>
      <c r="V361" t="s">
        <v>74</v>
      </c>
      <c r="W361" t="s">
        <v>5072</v>
      </c>
      <c r="X361" t="s">
        <v>5073</v>
      </c>
      <c r="Y361" t="s">
        <v>74</v>
      </c>
      <c r="Z361" t="s">
        <v>74</v>
      </c>
      <c r="AA361" t="s">
        <v>5074</v>
      </c>
      <c r="AB361" t="s">
        <v>5075</v>
      </c>
      <c r="AC361" t="s">
        <v>74</v>
      </c>
      <c r="AD361" t="s">
        <v>74</v>
      </c>
      <c r="AE361" t="s">
        <v>74</v>
      </c>
      <c r="AF361" t="s">
        <v>74</v>
      </c>
      <c r="AG361">
        <v>0</v>
      </c>
      <c r="AH361">
        <v>0</v>
      </c>
      <c r="AI361">
        <v>0</v>
      </c>
      <c r="AJ361">
        <v>0</v>
      </c>
      <c r="AK361">
        <v>0</v>
      </c>
      <c r="AL361" t="s">
        <v>5030</v>
      </c>
      <c r="AM361" t="s">
        <v>5031</v>
      </c>
      <c r="AN361" t="s">
        <v>5032</v>
      </c>
      <c r="AO361" t="s">
        <v>5033</v>
      </c>
      <c r="AP361" t="s">
        <v>74</v>
      </c>
      <c r="AQ361" t="s">
        <v>74</v>
      </c>
      <c r="AR361" t="s">
        <v>5034</v>
      </c>
      <c r="AS361" t="s">
        <v>5035</v>
      </c>
      <c r="AT361" t="s">
        <v>5036</v>
      </c>
      <c r="AU361">
        <v>2000</v>
      </c>
      <c r="AV361">
        <v>40</v>
      </c>
      <c r="AW361">
        <v>6</v>
      </c>
      <c r="AX361" t="s">
        <v>74</v>
      </c>
      <c r="AY361" t="s">
        <v>74</v>
      </c>
      <c r="AZ361" t="s">
        <v>74</v>
      </c>
      <c r="BA361" t="s">
        <v>74</v>
      </c>
      <c r="BB361">
        <v>1216</v>
      </c>
      <c r="BC361">
        <v>1217</v>
      </c>
      <c r="BD361" t="s">
        <v>74</v>
      </c>
      <c r="BE361" t="s">
        <v>74</v>
      </c>
      <c r="BF361" t="s">
        <v>74</v>
      </c>
      <c r="BG361" t="s">
        <v>74</v>
      </c>
      <c r="BH361" t="s">
        <v>74</v>
      </c>
      <c r="BI361">
        <v>2</v>
      </c>
      <c r="BJ361" t="s">
        <v>206</v>
      </c>
      <c r="BK361" t="s">
        <v>94</v>
      </c>
      <c r="BL361" t="s">
        <v>206</v>
      </c>
      <c r="BM361" t="s">
        <v>5037</v>
      </c>
      <c r="BN361" t="s">
        <v>74</v>
      </c>
      <c r="BO361" t="s">
        <v>74</v>
      </c>
      <c r="BP361" t="s">
        <v>74</v>
      </c>
      <c r="BQ361" t="s">
        <v>74</v>
      </c>
      <c r="BR361" t="s">
        <v>97</v>
      </c>
      <c r="BS361" t="s">
        <v>5076</v>
      </c>
      <c r="BT361" t="str">
        <f>HYPERLINK("https%3A%2F%2Fwww.webofscience.com%2Fwos%2Fwoscc%2Ffull-record%2FWOS:000168132000749","View Full Record in Web of Science")</f>
        <v>View Full Record in Web of Science</v>
      </c>
    </row>
    <row r="362" spans="1:72" x14ac:dyDescent="0.15">
      <c r="A362" t="s">
        <v>72</v>
      </c>
      <c r="B362" t="s">
        <v>5077</v>
      </c>
      <c r="C362" t="s">
        <v>74</v>
      </c>
      <c r="D362" t="s">
        <v>74</v>
      </c>
      <c r="E362" t="s">
        <v>74</v>
      </c>
      <c r="F362" t="s">
        <v>5077</v>
      </c>
      <c r="G362" t="s">
        <v>74</v>
      </c>
      <c r="H362" t="s">
        <v>74</v>
      </c>
      <c r="I362" t="s">
        <v>5078</v>
      </c>
      <c r="J362" t="s">
        <v>5027</v>
      </c>
      <c r="K362" t="s">
        <v>74</v>
      </c>
      <c r="L362" t="s">
        <v>74</v>
      </c>
      <c r="M362" t="s">
        <v>77</v>
      </c>
      <c r="N362" t="s">
        <v>52</v>
      </c>
      <c r="O362" t="s">
        <v>74</v>
      </c>
      <c r="P362" t="s">
        <v>74</v>
      </c>
      <c r="Q362" t="s">
        <v>74</v>
      </c>
      <c r="R362" t="s">
        <v>74</v>
      </c>
      <c r="S362" t="s">
        <v>74</v>
      </c>
      <c r="T362" t="s">
        <v>74</v>
      </c>
      <c r="U362" t="s">
        <v>74</v>
      </c>
      <c r="V362" t="s">
        <v>74</v>
      </c>
      <c r="W362" t="s">
        <v>5028</v>
      </c>
      <c r="X362" t="s">
        <v>5029</v>
      </c>
      <c r="Y362" t="s">
        <v>74</v>
      </c>
      <c r="Z362" t="s">
        <v>74</v>
      </c>
      <c r="AA362" t="s">
        <v>74</v>
      </c>
      <c r="AB362" t="s">
        <v>74</v>
      </c>
      <c r="AC362" t="s">
        <v>74</v>
      </c>
      <c r="AD362" t="s">
        <v>74</v>
      </c>
      <c r="AE362" t="s">
        <v>74</v>
      </c>
      <c r="AF362" t="s">
        <v>74</v>
      </c>
      <c r="AG362">
        <v>0</v>
      </c>
      <c r="AH362">
        <v>0</v>
      </c>
      <c r="AI362">
        <v>0</v>
      </c>
      <c r="AJ362">
        <v>0</v>
      </c>
      <c r="AK362">
        <v>11</v>
      </c>
      <c r="AL362" t="s">
        <v>5030</v>
      </c>
      <c r="AM362" t="s">
        <v>5031</v>
      </c>
      <c r="AN362" t="s">
        <v>5032</v>
      </c>
      <c r="AO362" t="s">
        <v>5033</v>
      </c>
      <c r="AP362" t="s">
        <v>74</v>
      </c>
      <c r="AQ362" t="s">
        <v>74</v>
      </c>
      <c r="AR362" t="s">
        <v>5034</v>
      </c>
      <c r="AS362" t="s">
        <v>5035</v>
      </c>
      <c r="AT362" t="s">
        <v>5036</v>
      </c>
      <c r="AU362">
        <v>2000</v>
      </c>
      <c r="AV362">
        <v>40</v>
      </c>
      <c r="AW362">
        <v>6</v>
      </c>
      <c r="AX362" t="s">
        <v>74</v>
      </c>
      <c r="AY362" t="s">
        <v>74</v>
      </c>
      <c r="AZ362" t="s">
        <v>74</v>
      </c>
      <c r="BA362" t="s">
        <v>74</v>
      </c>
      <c r="BB362">
        <v>1224</v>
      </c>
      <c r="BC362">
        <v>1224</v>
      </c>
      <c r="BD362" t="s">
        <v>74</v>
      </c>
      <c r="BE362" t="s">
        <v>74</v>
      </c>
      <c r="BF362" t="s">
        <v>74</v>
      </c>
      <c r="BG362" t="s">
        <v>74</v>
      </c>
      <c r="BH362" t="s">
        <v>74</v>
      </c>
      <c r="BI362">
        <v>1</v>
      </c>
      <c r="BJ362" t="s">
        <v>206</v>
      </c>
      <c r="BK362" t="s">
        <v>94</v>
      </c>
      <c r="BL362" t="s">
        <v>206</v>
      </c>
      <c r="BM362" t="s">
        <v>5037</v>
      </c>
      <c r="BN362" t="s">
        <v>74</v>
      </c>
      <c r="BO362" t="s">
        <v>74</v>
      </c>
      <c r="BP362" t="s">
        <v>74</v>
      </c>
      <c r="BQ362" t="s">
        <v>74</v>
      </c>
      <c r="BR362" t="s">
        <v>97</v>
      </c>
      <c r="BS362" t="s">
        <v>5079</v>
      </c>
      <c r="BT362" t="str">
        <f>HYPERLINK("https%3A%2F%2Fwww.webofscience.com%2Fwos%2Fwoscc%2Ffull-record%2FWOS:000168132000768","View Full Record in Web of Science")</f>
        <v>View Full Record in Web of Science</v>
      </c>
    </row>
    <row r="363" spans="1:72" x14ac:dyDescent="0.15">
      <c r="A363" t="s">
        <v>72</v>
      </c>
      <c r="B363" t="s">
        <v>5080</v>
      </c>
      <c r="C363" t="s">
        <v>74</v>
      </c>
      <c r="D363" t="s">
        <v>74</v>
      </c>
      <c r="E363" t="s">
        <v>74</v>
      </c>
      <c r="F363" t="s">
        <v>5080</v>
      </c>
      <c r="G363" t="s">
        <v>74</v>
      </c>
      <c r="H363" t="s">
        <v>74</v>
      </c>
      <c r="I363" t="s">
        <v>5081</v>
      </c>
      <c r="J363" t="s">
        <v>5027</v>
      </c>
      <c r="K363" t="s">
        <v>74</v>
      </c>
      <c r="L363" t="s">
        <v>74</v>
      </c>
      <c r="M363" t="s">
        <v>77</v>
      </c>
      <c r="N363" t="s">
        <v>52</v>
      </c>
      <c r="O363" t="s">
        <v>74</v>
      </c>
      <c r="P363" t="s">
        <v>74</v>
      </c>
      <c r="Q363" t="s">
        <v>74</v>
      </c>
      <c r="R363" t="s">
        <v>74</v>
      </c>
      <c r="S363" t="s">
        <v>74</v>
      </c>
      <c r="T363" t="s">
        <v>74</v>
      </c>
      <c r="U363" t="s">
        <v>74</v>
      </c>
      <c r="V363" t="s">
        <v>74</v>
      </c>
      <c r="W363" t="s">
        <v>5028</v>
      </c>
      <c r="X363" t="s">
        <v>5029</v>
      </c>
      <c r="Y363" t="s">
        <v>74</v>
      </c>
      <c r="Z363" t="s">
        <v>74</v>
      </c>
      <c r="AA363" t="s">
        <v>74</v>
      </c>
      <c r="AB363" t="s">
        <v>74</v>
      </c>
      <c r="AC363" t="s">
        <v>74</v>
      </c>
      <c r="AD363" t="s">
        <v>74</v>
      </c>
      <c r="AE363" t="s">
        <v>74</v>
      </c>
      <c r="AF363" t="s">
        <v>74</v>
      </c>
      <c r="AG363">
        <v>0</v>
      </c>
      <c r="AH363">
        <v>0</v>
      </c>
      <c r="AI363">
        <v>0</v>
      </c>
      <c r="AJ363">
        <v>0</v>
      </c>
      <c r="AK363">
        <v>1</v>
      </c>
      <c r="AL363" t="s">
        <v>5030</v>
      </c>
      <c r="AM363" t="s">
        <v>5031</v>
      </c>
      <c r="AN363" t="s">
        <v>5032</v>
      </c>
      <c r="AO363" t="s">
        <v>5033</v>
      </c>
      <c r="AP363" t="s">
        <v>74</v>
      </c>
      <c r="AQ363" t="s">
        <v>74</v>
      </c>
      <c r="AR363" t="s">
        <v>5034</v>
      </c>
      <c r="AS363" t="s">
        <v>5035</v>
      </c>
      <c r="AT363" t="s">
        <v>5036</v>
      </c>
      <c r="AU363">
        <v>2000</v>
      </c>
      <c r="AV363">
        <v>40</v>
      </c>
      <c r="AW363">
        <v>6</v>
      </c>
      <c r="AX363" t="s">
        <v>74</v>
      </c>
      <c r="AY363" t="s">
        <v>74</v>
      </c>
      <c r="AZ363" t="s">
        <v>74</v>
      </c>
      <c r="BA363" t="s">
        <v>74</v>
      </c>
      <c r="BB363">
        <v>1238</v>
      </c>
      <c r="BC363">
        <v>1238</v>
      </c>
      <c r="BD363" t="s">
        <v>74</v>
      </c>
      <c r="BE363" t="s">
        <v>74</v>
      </c>
      <c r="BF363" t="s">
        <v>74</v>
      </c>
      <c r="BG363" t="s">
        <v>74</v>
      </c>
      <c r="BH363" t="s">
        <v>74</v>
      </c>
      <c r="BI363">
        <v>1</v>
      </c>
      <c r="BJ363" t="s">
        <v>206</v>
      </c>
      <c r="BK363" t="s">
        <v>94</v>
      </c>
      <c r="BL363" t="s">
        <v>206</v>
      </c>
      <c r="BM363" t="s">
        <v>5037</v>
      </c>
      <c r="BN363" t="s">
        <v>74</v>
      </c>
      <c r="BO363" t="s">
        <v>74</v>
      </c>
      <c r="BP363" t="s">
        <v>74</v>
      </c>
      <c r="BQ363" t="s">
        <v>74</v>
      </c>
      <c r="BR363" t="s">
        <v>97</v>
      </c>
      <c r="BS363" t="s">
        <v>5082</v>
      </c>
      <c r="BT363" t="str">
        <f>HYPERLINK("https%3A%2F%2Fwww.webofscience.com%2Fwos%2Fwoscc%2Ffull-record%2FWOS:000168132000803","View Full Record in Web of Science")</f>
        <v>View Full Record in Web of Science</v>
      </c>
    </row>
    <row r="364" spans="1:72" x14ac:dyDescent="0.15">
      <c r="A364" t="s">
        <v>72</v>
      </c>
      <c r="B364" t="s">
        <v>5083</v>
      </c>
      <c r="C364" t="s">
        <v>74</v>
      </c>
      <c r="D364" t="s">
        <v>74</v>
      </c>
      <c r="E364" t="s">
        <v>74</v>
      </c>
      <c r="F364" t="s">
        <v>5083</v>
      </c>
      <c r="G364" t="s">
        <v>74</v>
      </c>
      <c r="H364" t="s">
        <v>74</v>
      </c>
      <c r="I364" t="s">
        <v>5084</v>
      </c>
      <c r="J364" t="s">
        <v>5085</v>
      </c>
      <c r="K364" t="s">
        <v>74</v>
      </c>
      <c r="L364" t="s">
        <v>74</v>
      </c>
      <c r="M364" t="s">
        <v>77</v>
      </c>
      <c r="N364" t="s">
        <v>2004</v>
      </c>
      <c r="O364" t="s">
        <v>74</v>
      </c>
      <c r="P364" t="s">
        <v>74</v>
      </c>
      <c r="Q364" t="s">
        <v>74</v>
      </c>
      <c r="R364" t="s">
        <v>74</v>
      </c>
      <c r="S364" t="s">
        <v>74</v>
      </c>
      <c r="T364" t="s">
        <v>74</v>
      </c>
      <c r="U364" t="s">
        <v>74</v>
      </c>
      <c r="V364" t="s">
        <v>74</v>
      </c>
      <c r="W364" t="s">
        <v>74</v>
      </c>
      <c r="X364" t="s">
        <v>74</v>
      </c>
      <c r="Y364" t="s">
        <v>74</v>
      </c>
      <c r="Z364" t="s">
        <v>74</v>
      </c>
      <c r="AA364" t="s">
        <v>74</v>
      </c>
      <c r="AB364" t="s">
        <v>74</v>
      </c>
      <c r="AC364" t="s">
        <v>74</v>
      </c>
      <c r="AD364" t="s">
        <v>74</v>
      </c>
      <c r="AE364" t="s">
        <v>74</v>
      </c>
      <c r="AF364" t="s">
        <v>74</v>
      </c>
      <c r="AG364">
        <v>0</v>
      </c>
      <c r="AH364">
        <v>0</v>
      </c>
      <c r="AI364">
        <v>0</v>
      </c>
      <c r="AJ364">
        <v>0</v>
      </c>
      <c r="AK364">
        <v>0</v>
      </c>
      <c r="AL364" t="s">
        <v>108</v>
      </c>
      <c r="AM364" t="s">
        <v>160</v>
      </c>
      <c r="AN364" t="s">
        <v>5086</v>
      </c>
      <c r="AO364" t="s">
        <v>5087</v>
      </c>
      <c r="AP364" t="s">
        <v>74</v>
      </c>
      <c r="AQ364" t="s">
        <v>74</v>
      </c>
      <c r="AR364" t="s">
        <v>5088</v>
      </c>
      <c r="AS364" t="s">
        <v>5089</v>
      </c>
      <c r="AT364" t="s">
        <v>5036</v>
      </c>
      <c r="AU364">
        <v>2000</v>
      </c>
      <c r="AV364">
        <v>12</v>
      </c>
      <c r="AW364">
        <v>4</v>
      </c>
      <c r="AX364" t="s">
        <v>74</v>
      </c>
      <c r="AY364" t="s">
        <v>74</v>
      </c>
      <c r="AZ364" t="s">
        <v>74</v>
      </c>
      <c r="BA364" t="s">
        <v>74</v>
      </c>
      <c r="BB364">
        <v>397</v>
      </c>
      <c r="BC364">
        <v>397</v>
      </c>
      <c r="BD364" t="s">
        <v>74</v>
      </c>
      <c r="BE364" t="s">
        <v>74</v>
      </c>
      <c r="BF364" t="s">
        <v>74</v>
      </c>
      <c r="BG364" t="s">
        <v>74</v>
      </c>
      <c r="BH364" t="s">
        <v>74</v>
      </c>
      <c r="BI364">
        <v>1</v>
      </c>
      <c r="BJ364" t="s">
        <v>5090</v>
      </c>
      <c r="BK364" t="s">
        <v>94</v>
      </c>
      <c r="BL364" t="s">
        <v>5091</v>
      </c>
      <c r="BM364" t="s">
        <v>5092</v>
      </c>
      <c r="BN364" t="s">
        <v>74</v>
      </c>
      <c r="BO364" t="s">
        <v>74</v>
      </c>
      <c r="BP364" t="s">
        <v>74</v>
      </c>
      <c r="BQ364" t="s">
        <v>74</v>
      </c>
      <c r="BR364" t="s">
        <v>97</v>
      </c>
      <c r="BS364" t="s">
        <v>5093</v>
      </c>
      <c r="BT364" t="str">
        <f>HYPERLINK("https%3A%2F%2Fwww.webofscience.com%2Fwos%2Fwoscc%2Ffull-record%2FWOS:000165975000001","View Full Record in Web of Science")</f>
        <v>View Full Record in Web of Science</v>
      </c>
    </row>
    <row r="365" spans="1:72" x14ac:dyDescent="0.15">
      <c r="A365" t="s">
        <v>72</v>
      </c>
      <c r="B365" t="s">
        <v>5094</v>
      </c>
      <c r="C365" t="s">
        <v>74</v>
      </c>
      <c r="D365" t="s">
        <v>74</v>
      </c>
      <c r="E365" t="s">
        <v>74</v>
      </c>
      <c r="F365" t="s">
        <v>5094</v>
      </c>
      <c r="G365" t="s">
        <v>74</v>
      </c>
      <c r="H365" t="s">
        <v>74</v>
      </c>
      <c r="I365" t="s">
        <v>5095</v>
      </c>
      <c r="J365" t="s">
        <v>5085</v>
      </c>
      <c r="K365" t="s">
        <v>74</v>
      </c>
      <c r="L365" t="s">
        <v>74</v>
      </c>
      <c r="M365" t="s">
        <v>77</v>
      </c>
      <c r="N365" t="s">
        <v>78</v>
      </c>
      <c r="O365" t="s">
        <v>74</v>
      </c>
      <c r="P365" t="s">
        <v>74</v>
      </c>
      <c r="Q365" t="s">
        <v>74</v>
      </c>
      <c r="R365" t="s">
        <v>74</v>
      </c>
      <c r="S365" t="s">
        <v>74</v>
      </c>
      <c r="T365" t="s">
        <v>5096</v>
      </c>
      <c r="U365" t="s">
        <v>5097</v>
      </c>
      <c r="V365" t="s">
        <v>5098</v>
      </c>
      <c r="W365" t="s">
        <v>885</v>
      </c>
      <c r="X365" t="s">
        <v>221</v>
      </c>
      <c r="Y365" t="s">
        <v>5099</v>
      </c>
      <c r="Z365" t="s">
        <v>74</v>
      </c>
      <c r="AA365" t="s">
        <v>74</v>
      </c>
      <c r="AB365" t="s">
        <v>74</v>
      </c>
      <c r="AC365" t="s">
        <v>74</v>
      </c>
      <c r="AD365" t="s">
        <v>74</v>
      </c>
      <c r="AE365" t="s">
        <v>74</v>
      </c>
      <c r="AF365" t="s">
        <v>74</v>
      </c>
      <c r="AG365">
        <v>25</v>
      </c>
      <c r="AH365">
        <v>40</v>
      </c>
      <c r="AI365">
        <v>44</v>
      </c>
      <c r="AJ365">
        <v>1</v>
      </c>
      <c r="AK365">
        <v>1</v>
      </c>
      <c r="AL365" t="s">
        <v>108</v>
      </c>
      <c r="AM365" t="s">
        <v>160</v>
      </c>
      <c r="AN365" t="s">
        <v>5086</v>
      </c>
      <c r="AO365" t="s">
        <v>5087</v>
      </c>
      <c r="AP365" t="s">
        <v>74</v>
      </c>
      <c r="AQ365" t="s">
        <v>74</v>
      </c>
      <c r="AR365" t="s">
        <v>5088</v>
      </c>
      <c r="AS365" t="s">
        <v>5089</v>
      </c>
      <c r="AT365" t="s">
        <v>5036</v>
      </c>
      <c r="AU365">
        <v>2000</v>
      </c>
      <c r="AV365">
        <v>12</v>
      </c>
      <c r="AW365">
        <v>4</v>
      </c>
      <c r="AX365" t="s">
        <v>74</v>
      </c>
      <c r="AY365" t="s">
        <v>74</v>
      </c>
      <c r="AZ365" t="s">
        <v>74</v>
      </c>
      <c r="BA365" t="s">
        <v>74</v>
      </c>
      <c r="BB365">
        <v>399</v>
      </c>
      <c r="BC365">
        <v>405</v>
      </c>
      <c r="BD365" t="s">
        <v>74</v>
      </c>
      <c r="BE365" t="s">
        <v>74</v>
      </c>
      <c r="BF365" t="s">
        <v>74</v>
      </c>
      <c r="BG365" t="s">
        <v>74</v>
      </c>
      <c r="BH365" t="s">
        <v>74</v>
      </c>
      <c r="BI365">
        <v>7</v>
      </c>
      <c r="BJ365" t="s">
        <v>5090</v>
      </c>
      <c r="BK365" t="s">
        <v>94</v>
      </c>
      <c r="BL365" t="s">
        <v>5091</v>
      </c>
      <c r="BM365" t="s">
        <v>5092</v>
      </c>
      <c r="BN365" t="s">
        <v>74</v>
      </c>
      <c r="BO365" t="s">
        <v>74</v>
      </c>
      <c r="BP365" t="s">
        <v>74</v>
      </c>
      <c r="BQ365" t="s">
        <v>74</v>
      </c>
      <c r="BR365" t="s">
        <v>97</v>
      </c>
      <c r="BS365" t="s">
        <v>5100</v>
      </c>
      <c r="BT365" t="str">
        <f>HYPERLINK("https%3A%2F%2Fwww.webofscience.com%2Fwos%2Fwoscc%2Ffull-record%2FWOS:000165975000002","View Full Record in Web of Science")</f>
        <v>View Full Record in Web of Science</v>
      </c>
    </row>
    <row r="366" spans="1:72" x14ac:dyDescent="0.15">
      <c r="A366" t="s">
        <v>72</v>
      </c>
      <c r="B366" t="s">
        <v>5101</v>
      </c>
      <c r="C366" t="s">
        <v>74</v>
      </c>
      <c r="D366" t="s">
        <v>74</v>
      </c>
      <c r="E366" t="s">
        <v>74</v>
      </c>
      <c r="F366" t="s">
        <v>5101</v>
      </c>
      <c r="G366" t="s">
        <v>74</v>
      </c>
      <c r="H366" t="s">
        <v>74</v>
      </c>
      <c r="I366" t="s">
        <v>5102</v>
      </c>
      <c r="J366" t="s">
        <v>5085</v>
      </c>
      <c r="K366" t="s">
        <v>74</v>
      </c>
      <c r="L366" t="s">
        <v>74</v>
      </c>
      <c r="M366" t="s">
        <v>77</v>
      </c>
      <c r="N366" t="s">
        <v>78</v>
      </c>
      <c r="O366" t="s">
        <v>74</v>
      </c>
      <c r="P366" t="s">
        <v>74</v>
      </c>
      <c r="Q366" t="s">
        <v>74</v>
      </c>
      <c r="R366" t="s">
        <v>74</v>
      </c>
      <c r="S366" t="s">
        <v>74</v>
      </c>
      <c r="T366" t="s">
        <v>5103</v>
      </c>
      <c r="U366" t="s">
        <v>5104</v>
      </c>
      <c r="V366" t="s">
        <v>5105</v>
      </c>
      <c r="W366" t="s">
        <v>885</v>
      </c>
      <c r="X366" t="s">
        <v>221</v>
      </c>
      <c r="Y366" t="s">
        <v>886</v>
      </c>
      <c r="Z366" t="s">
        <v>74</v>
      </c>
      <c r="AA366" t="s">
        <v>5106</v>
      </c>
      <c r="AB366" t="s">
        <v>5107</v>
      </c>
      <c r="AC366" t="s">
        <v>74</v>
      </c>
      <c r="AD366" t="s">
        <v>74</v>
      </c>
      <c r="AE366" t="s">
        <v>74</v>
      </c>
      <c r="AF366" t="s">
        <v>74</v>
      </c>
      <c r="AG366">
        <v>32</v>
      </c>
      <c r="AH366">
        <v>24</v>
      </c>
      <c r="AI366">
        <v>28</v>
      </c>
      <c r="AJ366">
        <v>1</v>
      </c>
      <c r="AK366">
        <v>11</v>
      </c>
      <c r="AL366" t="s">
        <v>108</v>
      </c>
      <c r="AM366" t="s">
        <v>160</v>
      </c>
      <c r="AN366" t="s">
        <v>965</v>
      </c>
      <c r="AO366" t="s">
        <v>5087</v>
      </c>
      <c r="AP366" t="s">
        <v>5108</v>
      </c>
      <c r="AQ366" t="s">
        <v>74</v>
      </c>
      <c r="AR366" t="s">
        <v>5088</v>
      </c>
      <c r="AS366" t="s">
        <v>5089</v>
      </c>
      <c r="AT366" t="s">
        <v>5036</v>
      </c>
      <c r="AU366">
        <v>2000</v>
      </c>
      <c r="AV366">
        <v>12</v>
      </c>
      <c r="AW366">
        <v>4</v>
      </c>
      <c r="AX366" t="s">
        <v>74</v>
      </c>
      <c r="AY366" t="s">
        <v>74</v>
      </c>
      <c r="AZ366" t="s">
        <v>74</v>
      </c>
      <c r="BA366" t="s">
        <v>74</v>
      </c>
      <c r="BB366">
        <v>406</v>
      </c>
      <c r="BC366">
        <v>413</v>
      </c>
      <c r="BD366" t="s">
        <v>74</v>
      </c>
      <c r="BE366" t="s">
        <v>74</v>
      </c>
      <c r="BF366" t="s">
        <v>74</v>
      </c>
      <c r="BG366" t="s">
        <v>74</v>
      </c>
      <c r="BH366" t="s">
        <v>74</v>
      </c>
      <c r="BI366">
        <v>8</v>
      </c>
      <c r="BJ366" t="s">
        <v>5090</v>
      </c>
      <c r="BK366" t="s">
        <v>94</v>
      </c>
      <c r="BL366" t="s">
        <v>5091</v>
      </c>
      <c r="BM366" t="s">
        <v>5092</v>
      </c>
      <c r="BN366" t="s">
        <v>74</v>
      </c>
      <c r="BO366" t="s">
        <v>74</v>
      </c>
      <c r="BP366" t="s">
        <v>74</v>
      </c>
      <c r="BQ366" t="s">
        <v>74</v>
      </c>
      <c r="BR366" t="s">
        <v>97</v>
      </c>
      <c r="BS366" t="s">
        <v>5109</v>
      </c>
      <c r="BT366" t="str">
        <f>HYPERLINK("https%3A%2F%2Fwww.webofscience.com%2Fwos%2Fwoscc%2Ffull-record%2FWOS:000165975000003","View Full Record in Web of Science")</f>
        <v>View Full Record in Web of Science</v>
      </c>
    </row>
    <row r="367" spans="1:72" x14ac:dyDescent="0.15">
      <c r="A367" t="s">
        <v>72</v>
      </c>
      <c r="B367" t="s">
        <v>5110</v>
      </c>
      <c r="C367" t="s">
        <v>74</v>
      </c>
      <c r="D367" t="s">
        <v>74</v>
      </c>
      <c r="E367" t="s">
        <v>74</v>
      </c>
      <c r="F367" t="s">
        <v>5110</v>
      </c>
      <c r="G367" t="s">
        <v>74</v>
      </c>
      <c r="H367" t="s">
        <v>74</v>
      </c>
      <c r="I367" t="s">
        <v>5111</v>
      </c>
      <c r="J367" t="s">
        <v>5085</v>
      </c>
      <c r="K367" t="s">
        <v>74</v>
      </c>
      <c r="L367" t="s">
        <v>74</v>
      </c>
      <c r="M367" t="s">
        <v>77</v>
      </c>
      <c r="N367" t="s">
        <v>78</v>
      </c>
      <c r="O367" t="s">
        <v>74</v>
      </c>
      <c r="P367" t="s">
        <v>74</v>
      </c>
      <c r="Q367" t="s">
        <v>74</v>
      </c>
      <c r="R367" t="s">
        <v>74</v>
      </c>
      <c r="S367" t="s">
        <v>74</v>
      </c>
      <c r="T367" t="s">
        <v>5112</v>
      </c>
      <c r="U367" t="s">
        <v>5113</v>
      </c>
      <c r="V367" t="s">
        <v>5114</v>
      </c>
      <c r="W367" t="s">
        <v>5115</v>
      </c>
      <c r="X367" t="s">
        <v>5116</v>
      </c>
      <c r="Y367" t="s">
        <v>5117</v>
      </c>
      <c r="Z367" t="s">
        <v>5118</v>
      </c>
      <c r="AA367" t="s">
        <v>74</v>
      </c>
      <c r="AB367" t="s">
        <v>74</v>
      </c>
      <c r="AC367" t="s">
        <v>74</v>
      </c>
      <c r="AD367" t="s">
        <v>74</v>
      </c>
      <c r="AE367" t="s">
        <v>74</v>
      </c>
      <c r="AF367" t="s">
        <v>74</v>
      </c>
      <c r="AG367">
        <v>28</v>
      </c>
      <c r="AH367">
        <v>32</v>
      </c>
      <c r="AI367">
        <v>37</v>
      </c>
      <c r="AJ367">
        <v>0</v>
      </c>
      <c r="AK367">
        <v>10</v>
      </c>
      <c r="AL367" t="s">
        <v>108</v>
      </c>
      <c r="AM367" t="s">
        <v>160</v>
      </c>
      <c r="AN367" t="s">
        <v>965</v>
      </c>
      <c r="AO367" t="s">
        <v>5087</v>
      </c>
      <c r="AP367" t="s">
        <v>74</v>
      </c>
      <c r="AQ367" t="s">
        <v>74</v>
      </c>
      <c r="AR367" t="s">
        <v>5088</v>
      </c>
      <c r="AS367" t="s">
        <v>5089</v>
      </c>
      <c r="AT367" t="s">
        <v>5036</v>
      </c>
      <c r="AU367">
        <v>2000</v>
      </c>
      <c r="AV367">
        <v>12</v>
      </c>
      <c r="AW367">
        <v>4</v>
      </c>
      <c r="AX367" t="s">
        <v>74</v>
      </c>
      <c r="AY367" t="s">
        <v>74</v>
      </c>
      <c r="AZ367" t="s">
        <v>74</v>
      </c>
      <c r="BA367" t="s">
        <v>74</v>
      </c>
      <c r="BB367">
        <v>414</v>
      </c>
      <c r="BC367">
        <v>417</v>
      </c>
      <c r="BD367" t="s">
        <v>74</v>
      </c>
      <c r="BE367" t="s">
        <v>74</v>
      </c>
      <c r="BF367" t="s">
        <v>74</v>
      </c>
      <c r="BG367" t="s">
        <v>74</v>
      </c>
      <c r="BH367" t="s">
        <v>74</v>
      </c>
      <c r="BI367">
        <v>4</v>
      </c>
      <c r="BJ367" t="s">
        <v>5090</v>
      </c>
      <c r="BK367" t="s">
        <v>94</v>
      </c>
      <c r="BL367" t="s">
        <v>5091</v>
      </c>
      <c r="BM367" t="s">
        <v>5092</v>
      </c>
      <c r="BN367" t="s">
        <v>74</v>
      </c>
      <c r="BO367" t="s">
        <v>74</v>
      </c>
      <c r="BP367" t="s">
        <v>74</v>
      </c>
      <c r="BQ367" t="s">
        <v>74</v>
      </c>
      <c r="BR367" t="s">
        <v>97</v>
      </c>
      <c r="BS367" t="s">
        <v>5119</v>
      </c>
      <c r="BT367" t="str">
        <f>HYPERLINK("https%3A%2F%2Fwww.webofscience.com%2Fwos%2Fwoscc%2Ffull-record%2FWOS:000165975000004","View Full Record in Web of Science")</f>
        <v>View Full Record in Web of Science</v>
      </c>
    </row>
    <row r="368" spans="1:72" x14ac:dyDescent="0.15">
      <c r="A368" t="s">
        <v>72</v>
      </c>
      <c r="B368" t="s">
        <v>5120</v>
      </c>
      <c r="C368" t="s">
        <v>74</v>
      </c>
      <c r="D368" t="s">
        <v>74</v>
      </c>
      <c r="E368" t="s">
        <v>74</v>
      </c>
      <c r="F368" t="s">
        <v>5120</v>
      </c>
      <c r="G368" t="s">
        <v>74</v>
      </c>
      <c r="H368" t="s">
        <v>74</v>
      </c>
      <c r="I368" t="s">
        <v>5121</v>
      </c>
      <c r="J368" t="s">
        <v>5085</v>
      </c>
      <c r="K368" t="s">
        <v>74</v>
      </c>
      <c r="L368" t="s">
        <v>74</v>
      </c>
      <c r="M368" t="s">
        <v>77</v>
      </c>
      <c r="N368" t="s">
        <v>78</v>
      </c>
      <c r="O368" t="s">
        <v>74</v>
      </c>
      <c r="P368" t="s">
        <v>74</v>
      </c>
      <c r="Q368" t="s">
        <v>74</v>
      </c>
      <c r="R368" t="s">
        <v>74</v>
      </c>
      <c r="S368" t="s">
        <v>74</v>
      </c>
      <c r="T368" t="s">
        <v>5122</v>
      </c>
      <c r="U368" t="s">
        <v>5123</v>
      </c>
      <c r="V368" t="s">
        <v>5124</v>
      </c>
      <c r="W368" t="s">
        <v>5125</v>
      </c>
      <c r="X368" t="s">
        <v>5126</v>
      </c>
      <c r="Y368" t="s">
        <v>5127</v>
      </c>
      <c r="Z368" t="s">
        <v>74</v>
      </c>
      <c r="AA368" t="s">
        <v>74</v>
      </c>
      <c r="AB368" t="s">
        <v>74</v>
      </c>
      <c r="AC368" t="s">
        <v>74</v>
      </c>
      <c r="AD368" t="s">
        <v>74</v>
      </c>
      <c r="AE368" t="s">
        <v>74</v>
      </c>
      <c r="AF368" t="s">
        <v>74</v>
      </c>
      <c r="AG368">
        <v>33</v>
      </c>
      <c r="AH368">
        <v>22</v>
      </c>
      <c r="AI368">
        <v>28</v>
      </c>
      <c r="AJ368">
        <v>2</v>
      </c>
      <c r="AK368">
        <v>15</v>
      </c>
      <c r="AL368" t="s">
        <v>108</v>
      </c>
      <c r="AM368" t="s">
        <v>160</v>
      </c>
      <c r="AN368" t="s">
        <v>5086</v>
      </c>
      <c r="AO368" t="s">
        <v>5087</v>
      </c>
      <c r="AP368" t="s">
        <v>74</v>
      </c>
      <c r="AQ368" t="s">
        <v>74</v>
      </c>
      <c r="AR368" t="s">
        <v>5088</v>
      </c>
      <c r="AS368" t="s">
        <v>5089</v>
      </c>
      <c r="AT368" t="s">
        <v>5036</v>
      </c>
      <c r="AU368">
        <v>2000</v>
      </c>
      <c r="AV368">
        <v>12</v>
      </c>
      <c r="AW368">
        <v>4</v>
      </c>
      <c r="AX368" t="s">
        <v>74</v>
      </c>
      <c r="AY368" t="s">
        <v>74</v>
      </c>
      <c r="AZ368" t="s">
        <v>74</v>
      </c>
      <c r="BA368" t="s">
        <v>74</v>
      </c>
      <c r="BB368">
        <v>418</v>
      </c>
      <c r="BC368">
        <v>424</v>
      </c>
      <c r="BD368" t="s">
        <v>74</v>
      </c>
      <c r="BE368" t="s">
        <v>74</v>
      </c>
      <c r="BF368" t="s">
        <v>74</v>
      </c>
      <c r="BG368" t="s">
        <v>74</v>
      </c>
      <c r="BH368" t="s">
        <v>74</v>
      </c>
      <c r="BI368">
        <v>7</v>
      </c>
      <c r="BJ368" t="s">
        <v>5090</v>
      </c>
      <c r="BK368" t="s">
        <v>94</v>
      </c>
      <c r="BL368" t="s">
        <v>5091</v>
      </c>
      <c r="BM368" t="s">
        <v>5092</v>
      </c>
      <c r="BN368" t="s">
        <v>74</v>
      </c>
      <c r="BO368" t="s">
        <v>74</v>
      </c>
      <c r="BP368" t="s">
        <v>74</v>
      </c>
      <c r="BQ368" t="s">
        <v>74</v>
      </c>
      <c r="BR368" t="s">
        <v>97</v>
      </c>
      <c r="BS368" t="s">
        <v>5128</v>
      </c>
      <c r="BT368" t="str">
        <f>HYPERLINK("https%3A%2F%2Fwww.webofscience.com%2Fwos%2Fwoscc%2Ffull-record%2FWOS:000165975000005","View Full Record in Web of Science")</f>
        <v>View Full Record in Web of Science</v>
      </c>
    </row>
    <row r="369" spans="1:72" x14ac:dyDescent="0.15">
      <c r="A369" t="s">
        <v>72</v>
      </c>
      <c r="B369" t="s">
        <v>5129</v>
      </c>
      <c r="C369" t="s">
        <v>74</v>
      </c>
      <c r="D369" t="s">
        <v>74</v>
      </c>
      <c r="E369" t="s">
        <v>74</v>
      </c>
      <c r="F369" t="s">
        <v>5129</v>
      </c>
      <c r="G369" t="s">
        <v>74</v>
      </c>
      <c r="H369" t="s">
        <v>74</v>
      </c>
      <c r="I369" t="s">
        <v>5130</v>
      </c>
      <c r="J369" t="s">
        <v>5085</v>
      </c>
      <c r="K369" t="s">
        <v>74</v>
      </c>
      <c r="L369" t="s">
        <v>74</v>
      </c>
      <c r="M369" t="s">
        <v>77</v>
      </c>
      <c r="N369" t="s">
        <v>78</v>
      </c>
      <c r="O369" t="s">
        <v>74</v>
      </c>
      <c r="P369" t="s">
        <v>74</v>
      </c>
      <c r="Q369" t="s">
        <v>74</v>
      </c>
      <c r="R369" t="s">
        <v>74</v>
      </c>
      <c r="S369" t="s">
        <v>74</v>
      </c>
      <c r="T369" t="s">
        <v>74</v>
      </c>
      <c r="U369" t="s">
        <v>74</v>
      </c>
      <c r="V369" t="s">
        <v>74</v>
      </c>
      <c r="W369" t="s">
        <v>5131</v>
      </c>
      <c r="X369" t="s">
        <v>5132</v>
      </c>
      <c r="Y369" t="s">
        <v>5133</v>
      </c>
      <c r="Z369" t="s">
        <v>74</v>
      </c>
      <c r="AA369" t="s">
        <v>5134</v>
      </c>
      <c r="AB369" t="s">
        <v>5135</v>
      </c>
      <c r="AC369" t="s">
        <v>74</v>
      </c>
      <c r="AD369" t="s">
        <v>74</v>
      </c>
      <c r="AE369" t="s">
        <v>74</v>
      </c>
      <c r="AF369" t="s">
        <v>74</v>
      </c>
      <c r="AG369">
        <v>3</v>
      </c>
      <c r="AH369">
        <v>19</v>
      </c>
      <c r="AI369">
        <v>20</v>
      </c>
      <c r="AJ369">
        <v>0</v>
      </c>
      <c r="AK369">
        <v>0</v>
      </c>
      <c r="AL369" t="s">
        <v>108</v>
      </c>
      <c r="AM369" t="s">
        <v>160</v>
      </c>
      <c r="AN369" t="s">
        <v>5086</v>
      </c>
      <c r="AO369" t="s">
        <v>5087</v>
      </c>
      <c r="AP369" t="s">
        <v>74</v>
      </c>
      <c r="AQ369" t="s">
        <v>74</v>
      </c>
      <c r="AR369" t="s">
        <v>5088</v>
      </c>
      <c r="AS369" t="s">
        <v>5089</v>
      </c>
      <c r="AT369" t="s">
        <v>5036</v>
      </c>
      <c r="AU369">
        <v>2000</v>
      </c>
      <c r="AV369">
        <v>12</v>
      </c>
      <c r="AW369">
        <v>4</v>
      </c>
      <c r="AX369" t="s">
        <v>74</v>
      </c>
      <c r="AY369" t="s">
        <v>74</v>
      </c>
      <c r="AZ369" t="s">
        <v>74</v>
      </c>
      <c r="BA369" t="s">
        <v>74</v>
      </c>
      <c r="BB369">
        <v>425</v>
      </c>
      <c r="BC369">
        <v>426</v>
      </c>
      <c r="BD369" t="s">
        <v>74</v>
      </c>
      <c r="BE369" t="s">
        <v>74</v>
      </c>
      <c r="BF369" t="s">
        <v>74</v>
      </c>
      <c r="BG369" t="s">
        <v>74</v>
      </c>
      <c r="BH369" t="s">
        <v>74</v>
      </c>
      <c r="BI369">
        <v>2</v>
      </c>
      <c r="BJ369" t="s">
        <v>5090</v>
      </c>
      <c r="BK369" t="s">
        <v>94</v>
      </c>
      <c r="BL369" t="s">
        <v>5091</v>
      </c>
      <c r="BM369" t="s">
        <v>5092</v>
      </c>
      <c r="BN369" t="s">
        <v>74</v>
      </c>
      <c r="BO369" t="s">
        <v>74</v>
      </c>
      <c r="BP369" t="s">
        <v>74</v>
      </c>
      <c r="BQ369" t="s">
        <v>74</v>
      </c>
      <c r="BR369" t="s">
        <v>97</v>
      </c>
      <c r="BS369" t="s">
        <v>5136</v>
      </c>
      <c r="BT369" t="str">
        <f>HYPERLINK("https%3A%2F%2Fwww.webofscience.com%2Fwos%2Fwoscc%2Ffull-record%2FWOS:000165975000006","View Full Record in Web of Science")</f>
        <v>View Full Record in Web of Science</v>
      </c>
    </row>
    <row r="370" spans="1:72" x14ac:dyDescent="0.15">
      <c r="A370" t="s">
        <v>72</v>
      </c>
      <c r="B370" t="s">
        <v>5137</v>
      </c>
      <c r="C370" t="s">
        <v>74</v>
      </c>
      <c r="D370" t="s">
        <v>74</v>
      </c>
      <c r="E370" t="s">
        <v>74</v>
      </c>
      <c r="F370" t="s">
        <v>5137</v>
      </c>
      <c r="G370" t="s">
        <v>74</v>
      </c>
      <c r="H370" t="s">
        <v>74</v>
      </c>
      <c r="I370" t="s">
        <v>5138</v>
      </c>
      <c r="J370" t="s">
        <v>5085</v>
      </c>
      <c r="K370" t="s">
        <v>74</v>
      </c>
      <c r="L370" t="s">
        <v>74</v>
      </c>
      <c r="M370" t="s">
        <v>77</v>
      </c>
      <c r="N370" t="s">
        <v>78</v>
      </c>
      <c r="O370" t="s">
        <v>74</v>
      </c>
      <c r="P370" t="s">
        <v>74</v>
      </c>
      <c r="Q370" t="s">
        <v>74</v>
      </c>
      <c r="R370" t="s">
        <v>74</v>
      </c>
      <c r="S370" t="s">
        <v>74</v>
      </c>
      <c r="T370" t="s">
        <v>74</v>
      </c>
      <c r="U370" t="s">
        <v>74</v>
      </c>
      <c r="V370" t="s">
        <v>74</v>
      </c>
      <c r="W370" t="s">
        <v>5139</v>
      </c>
      <c r="X370" t="s">
        <v>5140</v>
      </c>
      <c r="Y370" t="s">
        <v>5141</v>
      </c>
      <c r="Z370" t="s">
        <v>5142</v>
      </c>
      <c r="AA370" t="s">
        <v>5143</v>
      </c>
      <c r="AB370" t="s">
        <v>5144</v>
      </c>
      <c r="AC370" t="s">
        <v>74</v>
      </c>
      <c r="AD370" t="s">
        <v>74</v>
      </c>
      <c r="AE370" t="s">
        <v>74</v>
      </c>
      <c r="AF370" t="s">
        <v>74</v>
      </c>
      <c r="AG370">
        <v>8</v>
      </c>
      <c r="AH370">
        <v>6</v>
      </c>
      <c r="AI370">
        <v>6</v>
      </c>
      <c r="AJ370">
        <v>0</v>
      </c>
      <c r="AK370">
        <v>1</v>
      </c>
      <c r="AL370" t="s">
        <v>108</v>
      </c>
      <c r="AM370" t="s">
        <v>160</v>
      </c>
      <c r="AN370" t="s">
        <v>965</v>
      </c>
      <c r="AO370" t="s">
        <v>5087</v>
      </c>
      <c r="AP370" t="s">
        <v>5108</v>
      </c>
      <c r="AQ370" t="s">
        <v>74</v>
      </c>
      <c r="AR370" t="s">
        <v>5088</v>
      </c>
      <c r="AS370" t="s">
        <v>5089</v>
      </c>
      <c r="AT370" t="s">
        <v>5036</v>
      </c>
      <c r="AU370">
        <v>2000</v>
      </c>
      <c r="AV370">
        <v>12</v>
      </c>
      <c r="AW370">
        <v>4</v>
      </c>
      <c r="AX370" t="s">
        <v>74</v>
      </c>
      <c r="AY370" t="s">
        <v>74</v>
      </c>
      <c r="AZ370" t="s">
        <v>74</v>
      </c>
      <c r="BA370" t="s">
        <v>74</v>
      </c>
      <c r="BB370">
        <v>427</v>
      </c>
      <c r="BC370">
        <v>428</v>
      </c>
      <c r="BD370" t="s">
        <v>74</v>
      </c>
      <c r="BE370" t="s">
        <v>74</v>
      </c>
      <c r="BF370" t="s">
        <v>74</v>
      </c>
      <c r="BG370" t="s">
        <v>74</v>
      </c>
      <c r="BH370" t="s">
        <v>74</v>
      </c>
      <c r="BI370">
        <v>2</v>
      </c>
      <c r="BJ370" t="s">
        <v>5090</v>
      </c>
      <c r="BK370" t="s">
        <v>94</v>
      </c>
      <c r="BL370" t="s">
        <v>5091</v>
      </c>
      <c r="BM370" t="s">
        <v>5092</v>
      </c>
      <c r="BN370" t="s">
        <v>74</v>
      </c>
      <c r="BO370" t="s">
        <v>74</v>
      </c>
      <c r="BP370" t="s">
        <v>74</v>
      </c>
      <c r="BQ370" t="s">
        <v>74</v>
      </c>
      <c r="BR370" t="s">
        <v>97</v>
      </c>
      <c r="BS370" t="s">
        <v>5145</v>
      </c>
      <c r="BT370" t="str">
        <f>HYPERLINK("https%3A%2F%2Fwww.webofscience.com%2Fwos%2Fwoscc%2Ffull-record%2FWOS:000165975000007","View Full Record in Web of Science")</f>
        <v>View Full Record in Web of Science</v>
      </c>
    </row>
    <row r="371" spans="1:72" x14ac:dyDescent="0.15">
      <c r="A371" t="s">
        <v>72</v>
      </c>
      <c r="B371" t="s">
        <v>5146</v>
      </c>
      <c r="C371" t="s">
        <v>74</v>
      </c>
      <c r="D371" t="s">
        <v>74</v>
      </c>
      <c r="E371" t="s">
        <v>74</v>
      </c>
      <c r="F371" t="s">
        <v>5146</v>
      </c>
      <c r="G371" t="s">
        <v>74</v>
      </c>
      <c r="H371" t="s">
        <v>74</v>
      </c>
      <c r="I371" t="s">
        <v>5147</v>
      </c>
      <c r="J371" t="s">
        <v>5085</v>
      </c>
      <c r="K371" t="s">
        <v>74</v>
      </c>
      <c r="L371" t="s">
        <v>74</v>
      </c>
      <c r="M371" t="s">
        <v>77</v>
      </c>
      <c r="N371" t="s">
        <v>78</v>
      </c>
      <c r="O371" t="s">
        <v>74</v>
      </c>
      <c r="P371" t="s">
        <v>74</v>
      </c>
      <c r="Q371" t="s">
        <v>74</v>
      </c>
      <c r="R371" t="s">
        <v>74</v>
      </c>
      <c r="S371" t="s">
        <v>74</v>
      </c>
      <c r="T371" t="s">
        <v>5148</v>
      </c>
      <c r="U371" t="s">
        <v>5149</v>
      </c>
      <c r="V371" t="s">
        <v>5150</v>
      </c>
      <c r="W371" t="s">
        <v>5151</v>
      </c>
      <c r="X371" t="s">
        <v>5152</v>
      </c>
      <c r="Y371" t="s">
        <v>5153</v>
      </c>
      <c r="Z371" t="s">
        <v>74</v>
      </c>
      <c r="AA371" t="s">
        <v>5154</v>
      </c>
      <c r="AB371" t="s">
        <v>5155</v>
      </c>
      <c r="AC371" t="s">
        <v>74</v>
      </c>
      <c r="AD371" t="s">
        <v>74</v>
      </c>
      <c r="AE371" t="s">
        <v>74</v>
      </c>
      <c r="AF371" t="s">
        <v>74</v>
      </c>
      <c r="AG371">
        <v>44</v>
      </c>
      <c r="AH371">
        <v>70</v>
      </c>
      <c r="AI371">
        <v>85</v>
      </c>
      <c r="AJ371">
        <v>0</v>
      </c>
      <c r="AK371">
        <v>1</v>
      </c>
      <c r="AL371" t="s">
        <v>108</v>
      </c>
      <c r="AM371" t="s">
        <v>160</v>
      </c>
      <c r="AN371" t="s">
        <v>5086</v>
      </c>
      <c r="AO371" t="s">
        <v>5087</v>
      </c>
      <c r="AP371" t="s">
        <v>74</v>
      </c>
      <c r="AQ371" t="s">
        <v>74</v>
      </c>
      <c r="AR371" t="s">
        <v>5088</v>
      </c>
      <c r="AS371" t="s">
        <v>5089</v>
      </c>
      <c r="AT371" t="s">
        <v>5036</v>
      </c>
      <c r="AU371">
        <v>2000</v>
      </c>
      <c r="AV371">
        <v>12</v>
      </c>
      <c r="AW371">
        <v>4</v>
      </c>
      <c r="AX371" t="s">
        <v>74</v>
      </c>
      <c r="AY371" t="s">
        <v>74</v>
      </c>
      <c r="AZ371" t="s">
        <v>74</v>
      </c>
      <c r="BA371" t="s">
        <v>74</v>
      </c>
      <c r="BB371">
        <v>429</v>
      </c>
      <c r="BC371">
        <v>442</v>
      </c>
      <c r="BD371" t="s">
        <v>74</v>
      </c>
      <c r="BE371" t="s">
        <v>74</v>
      </c>
      <c r="BF371" t="s">
        <v>74</v>
      </c>
      <c r="BG371" t="s">
        <v>74</v>
      </c>
      <c r="BH371" t="s">
        <v>74</v>
      </c>
      <c r="BI371">
        <v>14</v>
      </c>
      <c r="BJ371" t="s">
        <v>5090</v>
      </c>
      <c r="BK371" t="s">
        <v>94</v>
      </c>
      <c r="BL371" t="s">
        <v>5091</v>
      </c>
      <c r="BM371" t="s">
        <v>5092</v>
      </c>
      <c r="BN371" t="s">
        <v>74</v>
      </c>
      <c r="BO371" t="s">
        <v>74</v>
      </c>
      <c r="BP371" t="s">
        <v>74</v>
      </c>
      <c r="BQ371" t="s">
        <v>74</v>
      </c>
      <c r="BR371" t="s">
        <v>97</v>
      </c>
      <c r="BS371" t="s">
        <v>5156</v>
      </c>
      <c r="BT371" t="str">
        <f>HYPERLINK("https%3A%2F%2Fwww.webofscience.com%2Fwos%2Fwoscc%2Ffull-record%2FWOS:000165975000008","View Full Record in Web of Science")</f>
        <v>View Full Record in Web of Science</v>
      </c>
    </row>
    <row r="372" spans="1:72" x14ac:dyDescent="0.15">
      <c r="A372" t="s">
        <v>72</v>
      </c>
      <c r="B372" t="s">
        <v>5157</v>
      </c>
      <c r="C372" t="s">
        <v>74</v>
      </c>
      <c r="D372" t="s">
        <v>74</v>
      </c>
      <c r="E372" t="s">
        <v>74</v>
      </c>
      <c r="F372" t="s">
        <v>5157</v>
      </c>
      <c r="G372" t="s">
        <v>74</v>
      </c>
      <c r="H372" t="s">
        <v>74</v>
      </c>
      <c r="I372" t="s">
        <v>5158</v>
      </c>
      <c r="J372" t="s">
        <v>5085</v>
      </c>
      <c r="K372" t="s">
        <v>74</v>
      </c>
      <c r="L372" t="s">
        <v>74</v>
      </c>
      <c r="M372" t="s">
        <v>77</v>
      </c>
      <c r="N372" t="s">
        <v>236</v>
      </c>
      <c r="O372" t="s">
        <v>74</v>
      </c>
      <c r="P372" t="s">
        <v>74</v>
      </c>
      <c r="Q372" t="s">
        <v>74</v>
      </c>
      <c r="R372" t="s">
        <v>74</v>
      </c>
      <c r="S372" t="s">
        <v>74</v>
      </c>
      <c r="T372" t="s">
        <v>5159</v>
      </c>
      <c r="U372" t="s">
        <v>5160</v>
      </c>
      <c r="V372" t="s">
        <v>5161</v>
      </c>
      <c r="W372" t="s">
        <v>5162</v>
      </c>
      <c r="X372" t="s">
        <v>5163</v>
      </c>
      <c r="Y372" t="s">
        <v>5164</v>
      </c>
      <c r="Z372" t="s">
        <v>5165</v>
      </c>
      <c r="AA372" t="s">
        <v>1239</v>
      </c>
      <c r="AB372" t="s">
        <v>74</v>
      </c>
      <c r="AC372" t="s">
        <v>74</v>
      </c>
      <c r="AD372" t="s">
        <v>74</v>
      </c>
      <c r="AE372" t="s">
        <v>74</v>
      </c>
      <c r="AF372" t="s">
        <v>74</v>
      </c>
      <c r="AG372">
        <v>141</v>
      </c>
      <c r="AH372">
        <v>47</v>
      </c>
      <c r="AI372">
        <v>52</v>
      </c>
      <c r="AJ372">
        <v>0</v>
      </c>
      <c r="AK372">
        <v>6</v>
      </c>
      <c r="AL372" t="s">
        <v>108</v>
      </c>
      <c r="AM372" t="s">
        <v>160</v>
      </c>
      <c r="AN372" t="s">
        <v>965</v>
      </c>
      <c r="AO372" t="s">
        <v>5087</v>
      </c>
      <c r="AP372" t="s">
        <v>5108</v>
      </c>
      <c r="AQ372" t="s">
        <v>74</v>
      </c>
      <c r="AR372" t="s">
        <v>5088</v>
      </c>
      <c r="AS372" t="s">
        <v>5089</v>
      </c>
      <c r="AT372" t="s">
        <v>5036</v>
      </c>
      <c r="AU372">
        <v>2000</v>
      </c>
      <c r="AV372">
        <v>12</v>
      </c>
      <c r="AW372">
        <v>4</v>
      </c>
      <c r="AX372" t="s">
        <v>74</v>
      </c>
      <c r="AY372" t="s">
        <v>74</v>
      </c>
      <c r="AZ372" t="s">
        <v>74</v>
      </c>
      <c r="BA372" t="s">
        <v>74</v>
      </c>
      <c r="BB372">
        <v>443</v>
      </c>
      <c r="BC372">
        <v>462</v>
      </c>
      <c r="BD372" t="s">
        <v>74</v>
      </c>
      <c r="BE372" t="s">
        <v>74</v>
      </c>
      <c r="BF372" t="s">
        <v>74</v>
      </c>
      <c r="BG372" t="s">
        <v>74</v>
      </c>
      <c r="BH372" t="s">
        <v>74</v>
      </c>
      <c r="BI372">
        <v>20</v>
      </c>
      <c r="BJ372" t="s">
        <v>5090</v>
      </c>
      <c r="BK372" t="s">
        <v>94</v>
      </c>
      <c r="BL372" t="s">
        <v>5091</v>
      </c>
      <c r="BM372" t="s">
        <v>5092</v>
      </c>
      <c r="BN372" t="s">
        <v>74</v>
      </c>
      <c r="BO372" t="s">
        <v>74</v>
      </c>
      <c r="BP372" t="s">
        <v>74</v>
      </c>
      <c r="BQ372" t="s">
        <v>74</v>
      </c>
      <c r="BR372" t="s">
        <v>97</v>
      </c>
      <c r="BS372" t="s">
        <v>5166</v>
      </c>
      <c r="BT372" t="str">
        <f>HYPERLINK("https%3A%2F%2Fwww.webofscience.com%2Fwos%2Fwoscc%2Ffull-record%2FWOS:000165975000009","View Full Record in Web of Science")</f>
        <v>View Full Record in Web of Science</v>
      </c>
    </row>
    <row r="373" spans="1:72" x14ac:dyDescent="0.15">
      <c r="A373" t="s">
        <v>72</v>
      </c>
      <c r="B373" t="s">
        <v>5167</v>
      </c>
      <c r="C373" t="s">
        <v>74</v>
      </c>
      <c r="D373" t="s">
        <v>74</v>
      </c>
      <c r="E373" t="s">
        <v>74</v>
      </c>
      <c r="F373" t="s">
        <v>5167</v>
      </c>
      <c r="G373" t="s">
        <v>74</v>
      </c>
      <c r="H373" t="s">
        <v>74</v>
      </c>
      <c r="I373" t="s">
        <v>5168</v>
      </c>
      <c r="J373" t="s">
        <v>5085</v>
      </c>
      <c r="K373" t="s">
        <v>74</v>
      </c>
      <c r="L373" t="s">
        <v>74</v>
      </c>
      <c r="M373" t="s">
        <v>77</v>
      </c>
      <c r="N373" t="s">
        <v>78</v>
      </c>
      <c r="O373" t="s">
        <v>74</v>
      </c>
      <c r="P373" t="s">
        <v>74</v>
      </c>
      <c r="Q373" t="s">
        <v>74</v>
      </c>
      <c r="R373" t="s">
        <v>74</v>
      </c>
      <c r="S373" t="s">
        <v>74</v>
      </c>
      <c r="T373" t="s">
        <v>5169</v>
      </c>
      <c r="U373" t="s">
        <v>5170</v>
      </c>
      <c r="V373" t="s">
        <v>5171</v>
      </c>
      <c r="W373" t="s">
        <v>5172</v>
      </c>
      <c r="X373" t="s">
        <v>5173</v>
      </c>
      <c r="Y373" t="s">
        <v>5174</v>
      </c>
      <c r="Z373" t="s">
        <v>74</v>
      </c>
      <c r="AA373" t="s">
        <v>74</v>
      </c>
      <c r="AB373" t="s">
        <v>74</v>
      </c>
      <c r="AC373" t="s">
        <v>74</v>
      </c>
      <c r="AD373" t="s">
        <v>74</v>
      </c>
      <c r="AE373" t="s">
        <v>74</v>
      </c>
      <c r="AF373" t="s">
        <v>74</v>
      </c>
      <c r="AG373">
        <v>34</v>
      </c>
      <c r="AH373">
        <v>12</v>
      </c>
      <c r="AI373">
        <v>12</v>
      </c>
      <c r="AJ373">
        <v>1</v>
      </c>
      <c r="AK373">
        <v>2</v>
      </c>
      <c r="AL373" t="s">
        <v>108</v>
      </c>
      <c r="AM373" t="s">
        <v>160</v>
      </c>
      <c r="AN373" t="s">
        <v>5086</v>
      </c>
      <c r="AO373" t="s">
        <v>5087</v>
      </c>
      <c r="AP373" t="s">
        <v>74</v>
      </c>
      <c r="AQ373" t="s">
        <v>74</v>
      </c>
      <c r="AR373" t="s">
        <v>5088</v>
      </c>
      <c r="AS373" t="s">
        <v>5089</v>
      </c>
      <c r="AT373" t="s">
        <v>5036</v>
      </c>
      <c r="AU373">
        <v>2000</v>
      </c>
      <c r="AV373">
        <v>12</v>
      </c>
      <c r="AW373">
        <v>4</v>
      </c>
      <c r="AX373" t="s">
        <v>74</v>
      </c>
      <c r="AY373" t="s">
        <v>74</v>
      </c>
      <c r="AZ373" t="s">
        <v>74</v>
      </c>
      <c r="BA373" t="s">
        <v>74</v>
      </c>
      <c r="BB373">
        <v>463</v>
      </c>
      <c r="BC373">
        <v>470</v>
      </c>
      <c r="BD373" t="s">
        <v>74</v>
      </c>
      <c r="BE373" t="s">
        <v>74</v>
      </c>
      <c r="BF373" t="s">
        <v>74</v>
      </c>
      <c r="BG373" t="s">
        <v>74</v>
      </c>
      <c r="BH373" t="s">
        <v>74</v>
      </c>
      <c r="BI373">
        <v>8</v>
      </c>
      <c r="BJ373" t="s">
        <v>5090</v>
      </c>
      <c r="BK373" t="s">
        <v>94</v>
      </c>
      <c r="BL373" t="s">
        <v>5091</v>
      </c>
      <c r="BM373" t="s">
        <v>5092</v>
      </c>
      <c r="BN373" t="s">
        <v>74</v>
      </c>
      <c r="BO373" t="s">
        <v>74</v>
      </c>
      <c r="BP373" t="s">
        <v>74</v>
      </c>
      <c r="BQ373" t="s">
        <v>74</v>
      </c>
      <c r="BR373" t="s">
        <v>97</v>
      </c>
      <c r="BS373" t="s">
        <v>5175</v>
      </c>
      <c r="BT373" t="str">
        <f>HYPERLINK("https%3A%2F%2Fwww.webofscience.com%2Fwos%2Fwoscc%2Ffull-record%2FWOS:000165975000010","View Full Record in Web of Science")</f>
        <v>View Full Record in Web of Science</v>
      </c>
    </row>
    <row r="374" spans="1:72" x14ac:dyDescent="0.15">
      <c r="A374" t="s">
        <v>72</v>
      </c>
      <c r="B374" t="s">
        <v>5176</v>
      </c>
      <c r="C374" t="s">
        <v>74</v>
      </c>
      <c r="D374" t="s">
        <v>74</v>
      </c>
      <c r="E374" t="s">
        <v>74</v>
      </c>
      <c r="F374" t="s">
        <v>5176</v>
      </c>
      <c r="G374" t="s">
        <v>74</v>
      </c>
      <c r="H374" t="s">
        <v>74</v>
      </c>
      <c r="I374" t="s">
        <v>5177</v>
      </c>
      <c r="J374" t="s">
        <v>5085</v>
      </c>
      <c r="K374" t="s">
        <v>74</v>
      </c>
      <c r="L374" t="s">
        <v>74</v>
      </c>
      <c r="M374" t="s">
        <v>77</v>
      </c>
      <c r="N374" t="s">
        <v>78</v>
      </c>
      <c r="O374" t="s">
        <v>74</v>
      </c>
      <c r="P374" t="s">
        <v>74</v>
      </c>
      <c r="Q374" t="s">
        <v>74</v>
      </c>
      <c r="R374" t="s">
        <v>74</v>
      </c>
      <c r="S374" t="s">
        <v>74</v>
      </c>
      <c r="T374" t="s">
        <v>5178</v>
      </c>
      <c r="U374" t="s">
        <v>5179</v>
      </c>
      <c r="V374" t="s">
        <v>5180</v>
      </c>
      <c r="W374" t="s">
        <v>5181</v>
      </c>
      <c r="X374" t="s">
        <v>5182</v>
      </c>
      <c r="Y374" t="s">
        <v>5183</v>
      </c>
      <c r="Z374" t="s">
        <v>74</v>
      </c>
      <c r="AA374" t="s">
        <v>74</v>
      </c>
      <c r="AB374" t="s">
        <v>74</v>
      </c>
      <c r="AC374" t="s">
        <v>74</v>
      </c>
      <c r="AD374" t="s">
        <v>74</v>
      </c>
      <c r="AE374" t="s">
        <v>74</v>
      </c>
      <c r="AF374" t="s">
        <v>74</v>
      </c>
      <c r="AG374">
        <v>12</v>
      </c>
      <c r="AH374">
        <v>6</v>
      </c>
      <c r="AI374">
        <v>6</v>
      </c>
      <c r="AJ374">
        <v>0</v>
      </c>
      <c r="AK374">
        <v>0</v>
      </c>
      <c r="AL374" t="s">
        <v>108</v>
      </c>
      <c r="AM374" t="s">
        <v>160</v>
      </c>
      <c r="AN374" t="s">
        <v>5086</v>
      </c>
      <c r="AO374" t="s">
        <v>5087</v>
      </c>
      <c r="AP374" t="s">
        <v>74</v>
      </c>
      <c r="AQ374" t="s">
        <v>74</v>
      </c>
      <c r="AR374" t="s">
        <v>5088</v>
      </c>
      <c r="AS374" t="s">
        <v>5089</v>
      </c>
      <c r="AT374" t="s">
        <v>5036</v>
      </c>
      <c r="AU374">
        <v>2000</v>
      </c>
      <c r="AV374">
        <v>12</v>
      </c>
      <c r="AW374">
        <v>4</v>
      </c>
      <c r="AX374" t="s">
        <v>74</v>
      </c>
      <c r="AY374" t="s">
        <v>74</v>
      </c>
      <c r="AZ374" t="s">
        <v>74</v>
      </c>
      <c r="BA374" t="s">
        <v>74</v>
      </c>
      <c r="BB374">
        <v>471</v>
      </c>
      <c r="BC374">
        <v>476</v>
      </c>
      <c r="BD374" t="s">
        <v>74</v>
      </c>
      <c r="BE374" t="s">
        <v>74</v>
      </c>
      <c r="BF374" t="s">
        <v>74</v>
      </c>
      <c r="BG374" t="s">
        <v>74</v>
      </c>
      <c r="BH374" t="s">
        <v>74</v>
      </c>
      <c r="BI374">
        <v>6</v>
      </c>
      <c r="BJ374" t="s">
        <v>5090</v>
      </c>
      <c r="BK374" t="s">
        <v>94</v>
      </c>
      <c r="BL374" t="s">
        <v>5091</v>
      </c>
      <c r="BM374" t="s">
        <v>5092</v>
      </c>
      <c r="BN374" t="s">
        <v>74</v>
      </c>
      <c r="BO374" t="s">
        <v>74</v>
      </c>
      <c r="BP374" t="s">
        <v>74</v>
      </c>
      <c r="BQ374" t="s">
        <v>74</v>
      </c>
      <c r="BR374" t="s">
        <v>97</v>
      </c>
      <c r="BS374" t="s">
        <v>5184</v>
      </c>
      <c r="BT374" t="str">
        <f>HYPERLINK("https%3A%2F%2Fwww.webofscience.com%2Fwos%2Fwoscc%2Ffull-record%2FWOS:000165975000011","View Full Record in Web of Science")</f>
        <v>View Full Record in Web of Science</v>
      </c>
    </row>
    <row r="375" spans="1:72" x14ac:dyDescent="0.15">
      <c r="A375" t="s">
        <v>72</v>
      </c>
      <c r="B375" t="s">
        <v>5185</v>
      </c>
      <c r="C375" t="s">
        <v>74</v>
      </c>
      <c r="D375" t="s">
        <v>74</v>
      </c>
      <c r="E375" t="s">
        <v>74</v>
      </c>
      <c r="F375" t="s">
        <v>5185</v>
      </c>
      <c r="G375" t="s">
        <v>74</v>
      </c>
      <c r="H375" t="s">
        <v>74</v>
      </c>
      <c r="I375" t="s">
        <v>5186</v>
      </c>
      <c r="J375" t="s">
        <v>5085</v>
      </c>
      <c r="K375" t="s">
        <v>74</v>
      </c>
      <c r="L375" t="s">
        <v>74</v>
      </c>
      <c r="M375" t="s">
        <v>77</v>
      </c>
      <c r="N375" t="s">
        <v>78</v>
      </c>
      <c r="O375" t="s">
        <v>74</v>
      </c>
      <c r="P375" t="s">
        <v>74</v>
      </c>
      <c r="Q375" t="s">
        <v>74</v>
      </c>
      <c r="R375" t="s">
        <v>74</v>
      </c>
      <c r="S375" t="s">
        <v>74</v>
      </c>
      <c r="T375" t="s">
        <v>5187</v>
      </c>
      <c r="U375" t="s">
        <v>5188</v>
      </c>
      <c r="V375" t="s">
        <v>5189</v>
      </c>
      <c r="W375" t="s">
        <v>5190</v>
      </c>
      <c r="X375" t="s">
        <v>5191</v>
      </c>
      <c r="Y375" t="s">
        <v>5192</v>
      </c>
      <c r="Z375" t="s">
        <v>74</v>
      </c>
      <c r="AA375" t="s">
        <v>74</v>
      </c>
      <c r="AB375" t="s">
        <v>74</v>
      </c>
      <c r="AC375" t="s">
        <v>74</v>
      </c>
      <c r="AD375" t="s">
        <v>74</v>
      </c>
      <c r="AE375" t="s">
        <v>74</v>
      </c>
      <c r="AF375" t="s">
        <v>74</v>
      </c>
      <c r="AG375">
        <v>56</v>
      </c>
      <c r="AH375">
        <v>23</v>
      </c>
      <c r="AI375">
        <v>25</v>
      </c>
      <c r="AJ375">
        <v>0</v>
      </c>
      <c r="AK375">
        <v>8</v>
      </c>
      <c r="AL375" t="s">
        <v>108</v>
      </c>
      <c r="AM375" t="s">
        <v>160</v>
      </c>
      <c r="AN375" t="s">
        <v>965</v>
      </c>
      <c r="AO375" t="s">
        <v>5087</v>
      </c>
      <c r="AP375" t="s">
        <v>5108</v>
      </c>
      <c r="AQ375" t="s">
        <v>74</v>
      </c>
      <c r="AR375" t="s">
        <v>5088</v>
      </c>
      <c r="AS375" t="s">
        <v>5089</v>
      </c>
      <c r="AT375" t="s">
        <v>5036</v>
      </c>
      <c r="AU375">
        <v>2000</v>
      </c>
      <c r="AV375">
        <v>12</v>
      </c>
      <c r="AW375">
        <v>4</v>
      </c>
      <c r="AX375" t="s">
        <v>74</v>
      </c>
      <c r="AY375" t="s">
        <v>74</v>
      </c>
      <c r="AZ375" t="s">
        <v>74</v>
      </c>
      <c r="BA375" t="s">
        <v>74</v>
      </c>
      <c r="BB375">
        <v>477</v>
      </c>
      <c r="BC375">
        <v>491</v>
      </c>
      <c r="BD375" t="s">
        <v>74</v>
      </c>
      <c r="BE375" t="s">
        <v>74</v>
      </c>
      <c r="BF375" t="s">
        <v>74</v>
      </c>
      <c r="BG375" t="s">
        <v>74</v>
      </c>
      <c r="BH375" t="s">
        <v>74</v>
      </c>
      <c r="BI375">
        <v>15</v>
      </c>
      <c r="BJ375" t="s">
        <v>5090</v>
      </c>
      <c r="BK375" t="s">
        <v>94</v>
      </c>
      <c r="BL375" t="s">
        <v>5091</v>
      </c>
      <c r="BM375" t="s">
        <v>5092</v>
      </c>
      <c r="BN375" t="s">
        <v>74</v>
      </c>
      <c r="BO375" t="s">
        <v>74</v>
      </c>
      <c r="BP375" t="s">
        <v>74</v>
      </c>
      <c r="BQ375" t="s">
        <v>74</v>
      </c>
      <c r="BR375" t="s">
        <v>97</v>
      </c>
      <c r="BS375" t="s">
        <v>5193</v>
      </c>
      <c r="BT375" t="str">
        <f>HYPERLINK("https%3A%2F%2Fwww.webofscience.com%2Fwos%2Fwoscc%2Ffull-record%2FWOS:000165975000012","View Full Record in Web of Science")</f>
        <v>View Full Record in Web of Science</v>
      </c>
    </row>
    <row r="376" spans="1:72" x14ac:dyDescent="0.15">
      <c r="A376" t="s">
        <v>72</v>
      </c>
      <c r="B376" t="s">
        <v>5194</v>
      </c>
      <c r="C376" t="s">
        <v>74</v>
      </c>
      <c r="D376" t="s">
        <v>74</v>
      </c>
      <c r="E376" t="s">
        <v>74</v>
      </c>
      <c r="F376" t="s">
        <v>5194</v>
      </c>
      <c r="G376" t="s">
        <v>74</v>
      </c>
      <c r="H376" t="s">
        <v>74</v>
      </c>
      <c r="I376" t="s">
        <v>5195</v>
      </c>
      <c r="J376" t="s">
        <v>5085</v>
      </c>
      <c r="K376" t="s">
        <v>74</v>
      </c>
      <c r="L376" t="s">
        <v>74</v>
      </c>
      <c r="M376" t="s">
        <v>77</v>
      </c>
      <c r="N376" t="s">
        <v>78</v>
      </c>
      <c r="O376" t="s">
        <v>74</v>
      </c>
      <c r="P376" t="s">
        <v>74</v>
      </c>
      <c r="Q376" t="s">
        <v>74</v>
      </c>
      <c r="R376" t="s">
        <v>74</v>
      </c>
      <c r="S376" t="s">
        <v>74</v>
      </c>
      <c r="T376" t="s">
        <v>5196</v>
      </c>
      <c r="U376" t="s">
        <v>5197</v>
      </c>
      <c r="V376" t="s">
        <v>5198</v>
      </c>
      <c r="W376" t="s">
        <v>5199</v>
      </c>
      <c r="X376" t="s">
        <v>5200</v>
      </c>
      <c r="Y376" t="s">
        <v>5201</v>
      </c>
      <c r="Z376" t="s">
        <v>74</v>
      </c>
      <c r="AA376" t="s">
        <v>74</v>
      </c>
      <c r="AB376" t="s">
        <v>74</v>
      </c>
      <c r="AC376" t="s">
        <v>74</v>
      </c>
      <c r="AD376" t="s">
        <v>74</v>
      </c>
      <c r="AE376" t="s">
        <v>74</v>
      </c>
      <c r="AF376" t="s">
        <v>74</v>
      </c>
      <c r="AG376">
        <v>28</v>
      </c>
      <c r="AH376">
        <v>45</v>
      </c>
      <c r="AI376">
        <v>49</v>
      </c>
      <c r="AJ376">
        <v>0</v>
      </c>
      <c r="AK376">
        <v>14</v>
      </c>
      <c r="AL376" t="s">
        <v>108</v>
      </c>
      <c r="AM376" t="s">
        <v>160</v>
      </c>
      <c r="AN376" t="s">
        <v>5086</v>
      </c>
      <c r="AO376" t="s">
        <v>5087</v>
      </c>
      <c r="AP376" t="s">
        <v>74</v>
      </c>
      <c r="AQ376" t="s">
        <v>74</v>
      </c>
      <c r="AR376" t="s">
        <v>5088</v>
      </c>
      <c r="AS376" t="s">
        <v>5089</v>
      </c>
      <c r="AT376" t="s">
        <v>5036</v>
      </c>
      <c r="AU376">
        <v>2000</v>
      </c>
      <c r="AV376">
        <v>12</v>
      </c>
      <c r="AW376">
        <v>4</v>
      </c>
      <c r="AX376" t="s">
        <v>74</v>
      </c>
      <c r="AY376" t="s">
        <v>74</v>
      </c>
      <c r="AZ376" t="s">
        <v>74</v>
      </c>
      <c r="BA376" t="s">
        <v>74</v>
      </c>
      <c r="BB376">
        <v>493</v>
      </c>
      <c r="BC376">
        <v>508</v>
      </c>
      <c r="BD376" t="s">
        <v>74</v>
      </c>
      <c r="BE376" t="s">
        <v>74</v>
      </c>
      <c r="BF376" t="s">
        <v>74</v>
      </c>
      <c r="BG376" t="s">
        <v>74</v>
      </c>
      <c r="BH376" t="s">
        <v>74</v>
      </c>
      <c r="BI376">
        <v>16</v>
      </c>
      <c r="BJ376" t="s">
        <v>5090</v>
      </c>
      <c r="BK376" t="s">
        <v>94</v>
      </c>
      <c r="BL376" t="s">
        <v>5091</v>
      </c>
      <c r="BM376" t="s">
        <v>5092</v>
      </c>
      <c r="BN376" t="s">
        <v>74</v>
      </c>
      <c r="BO376" t="s">
        <v>74</v>
      </c>
      <c r="BP376" t="s">
        <v>74</v>
      </c>
      <c r="BQ376" t="s">
        <v>74</v>
      </c>
      <c r="BR376" t="s">
        <v>97</v>
      </c>
      <c r="BS376" t="s">
        <v>5202</v>
      </c>
      <c r="BT376" t="str">
        <f>HYPERLINK("https%3A%2F%2Fwww.webofscience.com%2Fwos%2Fwoscc%2Ffull-record%2FWOS:000165975000013","View Full Record in Web of Science")</f>
        <v>View Full Record in Web of Science</v>
      </c>
    </row>
    <row r="377" spans="1:72" x14ac:dyDescent="0.15">
      <c r="A377" t="s">
        <v>72</v>
      </c>
      <c r="B377" t="s">
        <v>5203</v>
      </c>
      <c r="C377" t="s">
        <v>74</v>
      </c>
      <c r="D377" t="s">
        <v>74</v>
      </c>
      <c r="E377" t="s">
        <v>74</v>
      </c>
      <c r="F377" t="s">
        <v>5203</v>
      </c>
      <c r="G377" t="s">
        <v>74</v>
      </c>
      <c r="H377" t="s">
        <v>74</v>
      </c>
      <c r="I377" t="s">
        <v>5204</v>
      </c>
      <c r="J377" t="s">
        <v>5205</v>
      </c>
      <c r="K377" t="s">
        <v>74</v>
      </c>
      <c r="L377" t="s">
        <v>74</v>
      </c>
      <c r="M377" t="s">
        <v>77</v>
      </c>
      <c r="N377" t="s">
        <v>78</v>
      </c>
      <c r="O377" t="s">
        <v>74</v>
      </c>
      <c r="P377" t="s">
        <v>74</v>
      </c>
      <c r="Q377" t="s">
        <v>74</v>
      </c>
      <c r="R377" t="s">
        <v>74</v>
      </c>
      <c r="S377" t="s">
        <v>74</v>
      </c>
      <c r="T377" t="s">
        <v>5206</v>
      </c>
      <c r="U377" t="s">
        <v>5207</v>
      </c>
      <c r="V377" t="s">
        <v>5208</v>
      </c>
      <c r="W377" t="s">
        <v>5209</v>
      </c>
      <c r="X377" t="s">
        <v>5210</v>
      </c>
      <c r="Y377" t="s">
        <v>5211</v>
      </c>
      <c r="Z377" t="s">
        <v>74</v>
      </c>
      <c r="AA377" t="s">
        <v>74</v>
      </c>
      <c r="AB377" t="s">
        <v>74</v>
      </c>
      <c r="AC377" t="s">
        <v>74</v>
      </c>
      <c r="AD377" t="s">
        <v>74</v>
      </c>
      <c r="AE377" t="s">
        <v>74</v>
      </c>
      <c r="AF377" t="s">
        <v>74</v>
      </c>
      <c r="AG377">
        <v>66</v>
      </c>
      <c r="AH377">
        <v>19</v>
      </c>
      <c r="AI377">
        <v>21</v>
      </c>
      <c r="AJ377">
        <v>0</v>
      </c>
      <c r="AK377">
        <v>6</v>
      </c>
      <c r="AL377" t="s">
        <v>5212</v>
      </c>
      <c r="AM377" t="s">
        <v>5213</v>
      </c>
      <c r="AN377" t="s">
        <v>5214</v>
      </c>
      <c r="AO377" t="s">
        <v>5215</v>
      </c>
      <c r="AP377" t="s">
        <v>74</v>
      </c>
      <c r="AQ377" t="s">
        <v>74</v>
      </c>
      <c r="AR377" t="s">
        <v>5216</v>
      </c>
      <c r="AS377" t="s">
        <v>5217</v>
      </c>
      <c r="AT377" t="s">
        <v>5036</v>
      </c>
      <c r="AU377">
        <v>2000</v>
      </c>
      <c r="AV377">
        <v>47</v>
      </c>
      <c r="AW377">
        <v>6</v>
      </c>
      <c r="AX377" t="s">
        <v>74</v>
      </c>
      <c r="AY377" t="s">
        <v>74</v>
      </c>
      <c r="AZ377" t="s">
        <v>74</v>
      </c>
      <c r="BA377" t="s">
        <v>74</v>
      </c>
      <c r="BB377">
        <v>955</v>
      </c>
      <c r="BC377">
        <v>970</v>
      </c>
      <c r="BD377" t="s">
        <v>74</v>
      </c>
      <c r="BE377" t="s">
        <v>5218</v>
      </c>
      <c r="BF377" t="str">
        <f>HYPERLINK("http://dx.doi.org/10.1046/j.1440-0952.2000.00824.x","http://dx.doi.org/10.1046/j.1440-0952.2000.00824.x")</f>
        <v>http://dx.doi.org/10.1046/j.1440-0952.2000.00824.x</v>
      </c>
      <c r="BG377" t="s">
        <v>74</v>
      </c>
      <c r="BH377" t="s">
        <v>74</v>
      </c>
      <c r="BI377">
        <v>16</v>
      </c>
      <c r="BJ377" t="s">
        <v>595</v>
      </c>
      <c r="BK377" t="s">
        <v>94</v>
      </c>
      <c r="BL377" t="s">
        <v>597</v>
      </c>
      <c r="BM377" t="s">
        <v>5219</v>
      </c>
      <c r="BN377" t="s">
        <v>74</v>
      </c>
      <c r="BO377" t="s">
        <v>74</v>
      </c>
      <c r="BP377" t="s">
        <v>74</v>
      </c>
      <c r="BQ377" t="s">
        <v>74</v>
      </c>
      <c r="BR377" t="s">
        <v>97</v>
      </c>
      <c r="BS377" t="s">
        <v>5220</v>
      </c>
      <c r="BT377" t="str">
        <f>HYPERLINK("https%3A%2F%2Fwww.webofscience.com%2Fwos%2Fwoscc%2Ffull-record%2FWOS:000165937100001","View Full Record in Web of Science")</f>
        <v>View Full Record in Web of Science</v>
      </c>
    </row>
    <row r="378" spans="1:72" x14ac:dyDescent="0.15">
      <c r="A378" t="s">
        <v>72</v>
      </c>
      <c r="B378" t="s">
        <v>5221</v>
      </c>
      <c r="C378" t="s">
        <v>74</v>
      </c>
      <c r="D378" t="s">
        <v>74</v>
      </c>
      <c r="E378" t="s">
        <v>74</v>
      </c>
      <c r="F378" t="s">
        <v>5221</v>
      </c>
      <c r="G378" t="s">
        <v>74</v>
      </c>
      <c r="H378" t="s">
        <v>74</v>
      </c>
      <c r="I378" t="s">
        <v>5222</v>
      </c>
      <c r="J378" t="s">
        <v>5205</v>
      </c>
      <c r="K378" t="s">
        <v>74</v>
      </c>
      <c r="L378" t="s">
        <v>74</v>
      </c>
      <c r="M378" t="s">
        <v>77</v>
      </c>
      <c r="N378" t="s">
        <v>236</v>
      </c>
      <c r="O378" t="s">
        <v>74</v>
      </c>
      <c r="P378" t="s">
        <v>74</v>
      </c>
      <c r="Q378" t="s">
        <v>74</v>
      </c>
      <c r="R378" t="s">
        <v>74</v>
      </c>
      <c r="S378" t="s">
        <v>74</v>
      </c>
      <c r="T378" t="s">
        <v>5223</v>
      </c>
      <c r="U378" t="s">
        <v>5224</v>
      </c>
      <c r="V378" t="s">
        <v>5225</v>
      </c>
      <c r="W378" t="s">
        <v>5226</v>
      </c>
      <c r="X378" t="s">
        <v>5227</v>
      </c>
      <c r="Y378" t="s">
        <v>5228</v>
      </c>
      <c r="Z378" t="s">
        <v>74</v>
      </c>
      <c r="AA378" t="s">
        <v>5229</v>
      </c>
      <c r="AB378" t="s">
        <v>74</v>
      </c>
      <c r="AC378" t="s">
        <v>74</v>
      </c>
      <c r="AD378" t="s">
        <v>74</v>
      </c>
      <c r="AE378" t="s">
        <v>74</v>
      </c>
      <c r="AF378" t="s">
        <v>74</v>
      </c>
      <c r="AG378">
        <v>105</v>
      </c>
      <c r="AH378">
        <v>59</v>
      </c>
      <c r="AI378">
        <v>66</v>
      </c>
      <c r="AJ378">
        <v>1</v>
      </c>
      <c r="AK378">
        <v>3</v>
      </c>
      <c r="AL378" t="s">
        <v>1039</v>
      </c>
      <c r="AM378" t="s">
        <v>1040</v>
      </c>
      <c r="AN378" t="s">
        <v>1041</v>
      </c>
      <c r="AO378" t="s">
        <v>5215</v>
      </c>
      <c r="AP378" t="s">
        <v>5230</v>
      </c>
      <c r="AQ378" t="s">
        <v>74</v>
      </c>
      <c r="AR378" t="s">
        <v>5216</v>
      </c>
      <c r="AS378" t="s">
        <v>5217</v>
      </c>
      <c r="AT378" t="s">
        <v>5036</v>
      </c>
      <c r="AU378">
        <v>2000</v>
      </c>
      <c r="AV378">
        <v>47</v>
      </c>
      <c r="AW378">
        <v>6</v>
      </c>
      <c r="AX378" t="s">
        <v>74</v>
      </c>
      <c r="AY378" t="s">
        <v>74</v>
      </c>
      <c r="AZ378" t="s">
        <v>74</v>
      </c>
      <c r="BA378" t="s">
        <v>74</v>
      </c>
      <c r="BB378">
        <v>987</v>
      </c>
      <c r="BC378">
        <v>1007</v>
      </c>
      <c r="BD378" t="s">
        <v>74</v>
      </c>
      <c r="BE378" t="s">
        <v>5231</v>
      </c>
      <c r="BF378" t="str">
        <f>HYPERLINK("http://dx.doi.org/10.1046/j.1440-0952.2000.00826.x","http://dx.doi.org/10.1046/j.1440-0952.2000.00826.x")</f>
        <v>http://dx.doi.org/10.1046/j.1440-0952.2000.00826.x</v>
      </c>
      <c r="BG378" t="s">
        <v>74</v>
      </c>
      <c r="BH378" t="s">
        <v>74</v>
      </c>
      <c r="BI378">
        <v>21</v>
      </c>
      <c r="BJ378" t="s">
        <v>595</v>
      </c>
      <c r="BK378" t="s">
        <v>94</v>
      </c>
      <c r="BL378" t="s">
        <v>597</v>
      </c>
      <c r="BM378" t="s">
        <v>5219</v>
      </c>
      <c r="BN378" t="s">
        <v>74</v>
      </c>
      <c r="BO378" t="s">
        <v>74</v>
      </c>
      <c r="BP378" t="s">
        <v>74</v>
      </c>
      <c r="BQ378" t="s">
        <v>74</v>
      </c>
      <c r="BR378" t="s">
        <v>97</v>
      </c>
      <c r="BS378" t="s">
        <v>5232</v>
      </c>
      <c r="BT378" t="str">
        <f>HYPERLINK("https%3A%2F%2Fwww.webofscience.com%2Fwos%2Fwoscc%2Ffull-record%2FWOS:000165937100003","View Full Record in Web of Science")</f>
        <v>View Full Record in Web of Science</v>
      </c>
    </row>
    <row r="379" spans="1:72" x14ac:dyDescent="0.15">
      <c r="A379" t="s">
        <v>72</v>
      </c>
      <c r="B379" t="s">
        <v>5233</v>
      </c>
      <c r="C379" t="s">
        <v>74</v>
      </c>
      <c r="D379" t="s">
        <v>74</v>
      </c>
      <c r="E379" t="s">
        <v>74</v>
      </c>
      <c r="F379" t="s">
        <v>5233</v>
      </c>
      <c r="G379" t="s">
        <v>74</v>
      </c>
      <c r="H379" t="s">
        <v>74</v>
      </c>
      <c r="I379" t="s">
        <v>5234</v>
      </c>
      <c r="J379" t="s">
        <v>5235</v>
      </c>
      <c r="K379" t="s">
        <v>74</v>
      </c>
      <c r="L379" t="s">
        <v>74</v>
      </c>
      <c r="M379" t="s">
        <v>77</v>
      </c>
      <c r="N379" t="s">
        <v>78</v>
      </c>
      <c r="O379" t="s">
        <v>74</v>
      </c>
      <c r="P379" t="s">
        <v>74</v>
      </c>
      <c r="Q379" t="s">
        <v>74</v>
      </c>
      <c r="R379" t="s">
        <v>74</v>
      </c>
      <c r="S379" t="s">
        <v>74</v>
      </c>
      <c r="T379" t="s">
        <v>74</v>
      </c>
      <c r="U379" t="s">
        <v>5236</v>
      </c>
      <c r="V379" t="s">
        <v>5237</v>
      </c>
      <c r="W379" t="s">
        <v>5238</v>
      </c>
      <c r="X379" t="s">
        <v>5239</v>
      </c>
      <c r="Y379" t="s">
        <v>5240</v>
      </c>
      <c r="Z379" t="s">
        <v>74</v>
      </c>
      <c r="AA379" t="s">
        <v>74</v>
      </c>
      <c r="AB379" t="s">
        <v>74</v>
      </c>
      <c r="AC379" t="s">
        <v>74</v>
      </c>
      <c r="AD379" t="s">
        <v>74</v>
      </c>
      <c r="AE379" t="s">
        <v>74</v>
      </c>
      <c r="AF379" t="s">
        <v>74</v>
      </c>
      <c r="AG379">
        <v>24</v>
      </c>
      <c r="AH379">
        <v>3</v>
      </c>
      <c r="AI379">
        <v>3</v>
      </c>
      <c r="AJ379">
        <v>0</v>
      </c>
      <c r="AK379">
        <v>1</v>
      </c>
      <c r="AL379" t="s">
        <v>5241</v>
      </c>
      <c r="AM379" t="s">
        <v>5242</v>
      </c>
      <c r="AN379" t="s">
        <v>5243</v>
      </c>
      <c r="AO379" t="s">
        <v>5244</v>
      </c>
      <c r="AP379" t="s">
        <v>74</v>
      </c>
      <c r="AQ379" t="s">
        <v>74</v>
      </c>
      <c r="AR379" t="s">
        <v>5245</v>
      </c>
      <c r="AS379" t="s">
        <v>5246</v>
      </c>
      <c r="AT379" t="s">
        <v>5036</v>
      </c>
      <c r="AU379">
        <v>2000</v>
      </c>
      <c r="AV379">
        <v>49</v>
      </c>
      <c r="AW379">
        <v>4</v>
      </c>
      <c r="AX379" t="s">
        <v>74</v>
      </c>
      <c r="AY379" t="s">
        <v>74</v>
      </c>
      <c r="AZ379" t="s">
        <v>74</v>
      </c>
      <c r="BA379" t="s">
        <v>74</v>
      </c>
      <c r="BB379">
        <v>319</v>
      </c>
      <c r="BC379">
        <v>330</v>
      </c>
      <c r="BD379" t="s">
        <v>74</v>
      </c>
      <c r="BE379" t="s">
        <v>74</v>
      </c>
      <c r="BF379" t="s">
        <v>74</v>
      </c>
      <c r="BG379" t="s">
        <v>74</v>
      </c>
      <c r="BH379" t="s">
        <v>74</v>
      </c>
      <c r="BI379">
        <v>12</v>
      </c>
      <c r="BJ379" t="s">
        <v>167</v>
      </c>
      <c r="BK379" t="s">
        <v>94</v>
      </c>
      <c r="BL379" t="s">
        <v>167</v>
      </c>
      <c r="BM379" t="s">
        <v>5247</v>
      </c>
      <c r="BN379" t="s">
        <v>74</v>
      </c>
      <c r="BO379" t="s">
        <v>74</v>
      </c>
      <c r="BP379" t="s">
        <v>74</v>
      </c>
      <c r="BQ379" t="s">
        <v>74</v>
      </c>
      <c r="BR379" t="s">
        <v>97</v>
      </c>
      <c r="BS379" t="s">
        <v>5248</v>
      </c>
      <c r="BT379" t="str">
        <f>HYPERLINK("https%3A%2F%2Fwww.webofscience.com%2Fwos%2Fwoscc%2Ffull-record%2FWOS:000166326900004","View Full Record in Web of Science")</f>
        <v>View Full Record in Web of Science</v>
      </c>
    </row>
    <row r="380" spans="1:72" x14ac:dyDescent="0.15">
      <c r="A380" t="s">
        <v>72</v>
      </c>
      <c r="B380" t="s">
        <v>5249</v>
      </c>
      <c r="C380" t="s">
        <v>74</v>
      </c>
      <c r="D380" t="s">
        <v>74</v>
      </c>
      <c r="E380" t="s">
        <v>74</v>
      </c>
      <c r="F380" t="s">
        <v>5249</v>
      </c>
      <c r="G380" t="s">
        <v>74</v>
      </c>
      <c r="H380" t="s">
        <v>74</v>
      </c>
      <c r="I380" t="s">
        <v>5250</v>
      </c>
      <c r="J380" t="s">
        <v>5251</v>
      </c>
      <c r="K380" t="s">
        <v>74</v>
      </c>
      <c r="L380" t="s">
        <v>74</v>
      </c>
      <c r="M380" t="s">
        <v>77</v>
      </c>
      <c r="N380" t="s">
        <v>78</v>
      </c>
      <c r="O380" t="s">
        <v>74</v>
      </c>
      <c r="P380" t="s">
        <v>74</v>
      </c>
      <c r="Q380" t="s">
        <v>74</v>
      </c>
      <c r="R380" t="s">
        <v>74</v>
      </c>
      <c r="S380" t="s">
        <v>74</v>
      </c>
      <c r="T380" t="s">
        <v>5252</v>
      </c>
      <c r="U380" t="s">
        <v>5253</v>
      </c>
      <c r="V380" t="s">
        <v>5254</v>
      </c>
      <c r="W380" t="s">
        <v>5255</v>
      </c>
      <c r="X380" t="s">
        <v>667</v>
      </c>
      <c r="Y380" t="s">
        <v>5256</v>
      </c>
      <c r="Z380" t="s">
        <v>74</v>
      </c>
      <c r="AA380" t="s">
        <v>74</v>
      </c>
      <c r="AB380" t="s">
        <v>5257</v>
      </c>
      <c r="AC380" t="s">
        <v>74</v>
      </c>
      <c r="AD380" t="s">
        <v>74</v>
      </c>
      <c r="AE380" t="s">
        <v>74</v>
      </c>
      <c r="AF380" t="s">
        <v>74</v>
      </c>
      <c r="AG380">
        <v>54</v>
      </c>
      <c r="AH380">
        <v>35</v>
      </c>
      <c r="AI380">
        <v>36</v>
      </c>
      <c r="AJ380">
        <v>0</v>
      </c>
      <c r="AK380">
        <v>17</v>
      </c>
      <c r="AL380" t="s">
        <v>758</v>
      </c>
      <c r="AM380" t="s">
        <v>246</v>
      </c>
      <c r="AN380" t="s">
        <v>759</v>
      </c>
      <c r="AO380" t="s">
        <v>5258</v>
      </c>
      <c r="AP380" t="s">
        <v>74</v>
      </c>
      <c r="AQ380" t="s">
        <v>74</v>
      </c>
      <c r="AR380" t="s">
        <v>5259</v>
      </c>
      <c r="AS380" t="s">
        <v>5260</v>
      </c>
      <c r="AT380" t="s">
        <v>5036</v>
      </c>
      <c r="AU380">
        <v>2000</v>
      </c>
      <c r="AV380">
        <v>96</v>
      </c>
      <c r="AW380">
        <v>2</v>
      </c>
      <c r="AX380" t="s">
        <v>74</v>
      </c>
      <c r="AY380" t="s">
        <v>74</v>
      </c>
      <c r="AZ380" t="s">
        <v>74</v>
      </c>
      <c r="BA380" t="s">
        <v>74</v>
      </c>
      <c r="BB380">
        <v>219</v>
      </c>
      <c r="BC380">
        <v>231</v>
      </c>
      <c r="BD380" t="s">
        <v>74</v>
      </c>
      <c r="BE380" t="s">
        <v>5261</v>
      </c>
      <c r="BF380" t="str">
        <f>HYPERLINK("http://dx.doi.org/10.1016/S0006-3207(00)00072-0","http://dx.doi.org/10.1016/S0006-3207(00)00072-0")</f>
        <v>http://dx.doi.org/10.1016/S0006-3207(00)00072-0</v>
      </c>
      <c r="BG380" t="s">
        <v>74</v>
      </c>
      <c r="BH380" t="s">
        <v>74</v>
      </c>
      <c r="BI380">
        <v>13</v>
      </c>
      <c r="BJ380" t="s">
        <v>1102</v>
      </c>
      <c r="BK380" t="s">
        <v>94</v>
      </c>
      <c r="BL380" t="s">
        <v>1103</v>
      </c>
      <c r="BM380" t="s">
        <v>5262</v>
      </c>
      <c r="BN380" t="s">
        <v>74</v>
      </c>
      <c r="BO380" t="s">
        <v>74</v>
      </c>
      <c r="BP380" t="s">
        <v>74</v>
      </c>
      <c r="BQ380" t="s">
        <v>74</v>
      </c>
      <c r="BR380" t="s">
        <v>97</v>
      </c>
      <c r="BS380" t="s">
        <v>5263</v>
      </c>
      <c r="BT380" t="str">
        <f>HYPERLINK("https%3A%2F%2Fwww.webofscience.com%2Fwos%2Fwoscc%2Ffull-record%2FWOS:000088945600010","View Full Record in Web of Science")</f>
        <v>View Full Record in Web of Science</v>
      </c>
    </row>
    <row r="381" spans="1:72" x14ac:dyDescent="0.15">
      <c r="A381" t="s">
        <v>72</v>
      </c>
      <c r="B381" t="s">
        <v>5264</v>
      </c>
      <c r="C381" t="s">
        <v>74</v>
      </c>
      <c r="D381" t="s">
        <v>74</v>
      </c>
      <c r="E381" t="s">
        <v>74</v>
      </c>
      <c r="F381" t="s">
        <v>5264</v>
      </c>
      <c r="G381" t="s">
        <v>74</v>
      </c>
      <c r="H381" t="s">
        <v>74</v>
      </c>
      <c r="I381" t="s">
        <v>5265</v>
      </c>
      <c r="J381" t="s">
        <v>5266</v>
      </c>
      <c r="K381" t="s">
        <v>74</v>
      </c>
      <c r="L381" t="s">
        <v>74</v>
      </c>
      <c r="M381" t="s">
        <v>77</v>
      </c>
      <c r="N381" t="s">
        <v>78</v>
      </c>
      <c r="O381" t="s">
        <v>74</v>
      </c>
      <c r="P381" t="s">
        <v>74</v>
      </c>
      <c r="Q381" t="s">
        <v>74</v>
      </c>
      <c r="R381" t="s">
        <v>74</v>
      </c>
      <c r="S381" t="s">
        <v>74</v>
      </c>
      <c r="T381" t="s">
        <v>5267</v>
      </c>
      <c r="U381" t="s">
        <v>5268</v>
      </c>
      <c r="V381" t="s">
        <v>5269</v>
      </c>
      <c r="W381" t="s">
        <v>5270</v>
      </c>
      <c r="X381" t="s">
        <v>5271</v>
      </c>
      <c r="Y381" t="s">
        <v>5272</v>
      </c>
      <c r="Z381" t="s">
        <v>5273</v>
      </c>
      <c r="AA381" t="s">
        <v>74</v>
      </c>
      <c r="AB381" t="s">
        <v>74</v>
      </c>
      <c r="AC381" t="s">
        <v>74</v>
      </c>
      <c r="AD381" t="s">
        <v>74</v>
      </c>
      <c r="AE381" t="s">
        <v>74</v>
      </c>
      <c r="AF381" t="s">
        <v>74</v>
      </c>
      <c r="AG381">
        <v>41</v>
      </c>
      <c r="AH381">
        <v>17</v>
      </c>
      <c r="AI381">
        <v>21</v>
      </c>
      <c r="AJ381">
        <v>0</v>
      </c>
      <c r="AK381">
        <v>7</v>
      </c>
      <c r="AL381" t="s">
        <v>4286</v>
      </c>
      <c r="AM381" t="s">
        <v>160</v>
      </c>
      <c r="AN381" t="s">
        <v>5274</v>
      </c>
      <c r="AO381" t="s">
        <v>5275</v>
      </c>
      <c r="AP381" t="s">
        <v>5276</v>
      </c>
      <c r="AQ381" t="s">
        <v>74</v>
      </c>
      <c r="AR381" t="s">
        <v>5277</v>
      </c>
      <c r="AS381" t="s">
        <v>5278</v>
      </c>
      <c r="AT381" t="s">
        <v>5036</v>
      </c>
      <c r="AU381">
        <v>2000</v>
      </c>
      <c r="AV381">
        <v>127</v>
      </c>
      <c r="AW381">
        <v>4</v>
      </c>
      <c r="AX381" t="s">
        <v>74</v>
      </c>
      <c r="AY381" t="s">
        <v>74</v>
      </c>
      <c r="AZ381" t="s">
        <v>74</v>
      </c>
      <c r="BA381" t="s">
        <v>74</v>
      </c>
      <c r="BB381">
        <v>575</v>
      </c>
      <c r="BC381">
        <v>588</v>
      </c>
      <c r="BD381" t="s">
        <v>74</v>
      </c>
      <c r="BE381" t="s">
        <v>5279</v>
      </c>
      <c r="BF381" t="str">
        <f>HYPERLINK("http://dx.doi.org/10.1016/S0305-0491(00)00286-8","http://dx.doi.org/10.1016/S0305-0491(00)00286-8")</f>
        <v>http://dx.doi.org/10.1016/S0305-0491(00)00286-8</v>
      </c>
      <c r="BG381" t="s">
        <v>74</v>
      </c>
      <c r="BH381" t="s">
        <v>74</v>
      </c>
      <c r="BI381">
        <v>14</v>
      </c>
      <c r="BJ381" t="s">
        <v>5280</v>
      </c>
      <c r="BK381" t="s">
        <v>94</v>
      </c>
      <c r="BL381" t="s">
        <v>5280</v>
      </c>
      <c r="BM381" t="s">
        <v>5281</v>
      </c>
      <c r="BN381">
        <v>11281274</v>
      </c>
      <c r="BO381" t="s">
        <v>74</v>
      </c>
      <c r="BP381" t="s">
        <v>74</v>
      </c>
      <c r="BQ381" t="s">
        <v>74</v>
      </c>
      <c r="BR381" t="s">
        <v>97</v>
      </c>
      <c r="BS381" t="s">
        <v>5282</v>
      </c>
      <c r="BT381" t="str">
        <f>HYPERLINK("https%3A%2F%2Fwww.webofscience.com%2Fwos%2Fwoscc%2Ffull-record%2FWOS:000165953700015","View Full Record in Web of Science")</f>
        <v>View Full Record in Web of Science</v>
      </c>
    </row>
    <row r="382" spans="1:72" x14ac:dyDescent="0.15">
      <c r="A382" t="s">
        <v>72</v>
      </c>
      <c r="B382" t="s">
        <v>5283</v>
      </c>
      <c r="C382" t="s">
        <v>74</v>
      </c>
      <c r="D382" t="s">
        <v>74</v>
      </c>
      <c r="E382" t="s">
        <v>74</v>
      </c>
      <c r="F382" t="s">
        <v>5283</v>
      </c>
      <c r="G382" t="s">
        <v>74</v>
      </c>
      <c r="H382" t="s">
        <v>74</v>
      </c>
      <c r="I382" t="s">
        <v>5284</v>
      </c>
      <c r="J382" t="s">
        <v>235</v>
      </c>
      <c r="K382" t="s">
        <v>74</v>
      </c>
      <c r="L382" t="s">
        <v>74</v>
      </c>
      <c r="M382" t="s">
        <v>77</v>
      </c>
      <c r="N382" t="s">
        <v>78</v>
      </c>
      <c r="O382" t="s">
        <v>74</v>
      </c>
      <c r="P382" t="s">
        <v>74</v>
      </c>
      <c r="Q382" t="s">
        <v>74</v>
      </c>
      <c r="R382" t="s">
        <v>74</v>
      </c>
      <c r="S382" t="s">
        <v>74</v>
      </c>
      <c r="T382" t="s">
        <v>5285</v>
      </c>
      <c r="U382" t="s">
        <v>5286</v>
      </c>
      <c r="V382" t="s">
        <v>5287</v>
      </c>
      <c r="W382" t="s">
        <v>5288</v>
      </c>
      <c r="X382" t="s">
        <v>5289</v>
      </c>
      <c r="Y382" t="s">
        <v>5290</v>
      </c>
      <c r="Z382" t="s">
        <v>74</v>
      </c>
      <c r="AA382" t="s">
        <v>5291</v>
      </c>
      <c r="AB382" t="s">
        <v>5292</v>
      </c>
      <c r="AC382" t="s">
        <v>74</v>
      </c>
      <c r="AD382" t="s">
        <v>74</v>
      </c>
      <c r="AE382" t="s">
        <v>74</v>
      </c>
      <c r="AF382" t="s">
        <v>74</v>
      </c>
      <c r="AG382">
        <v>42</v>
      </c>
      <c r="AH382">
        <v>70</v>
      </c>
      <c r="AI382">
        <v>78</v>
      </c>
      <c r="AJ382">
        <v>1</v>
      </c>
      <c r="AK382">
        <v>44</v>
      </c>
      <c r="AL382" t="s">
        <v>245</v>
      </c>
      <c r="AM382" t="s">
        <v>246</v>
      </c>
      <c r="AN382" t="s">
        <v>247</v>
      </c>
      <c r="AO382" t="s">
        <v>248</v>
      </c>
      <c r="AP382" t="s">
        <v>74</v>
      </c>
      <c r="AQ382" t="s">
        <v>74</v>
      </c>
      <c r="AR382" t="s">
        <v>249</v>
      </c>
      <c r="AS382" t="s">
        <v>250</v>
      </c>
      <c r="AT382" t="s">
        <v>5036</v>
      </c>
      <c r="AU382">
        <v>2000</v>
      </c>
      <c r="AV382">
        <v>47</v>
      </c>
      <c r="AW382">
        <v>12</v>
      </c>
      <c r="AX382" t="s">
        <v>74</v>
      </c>
      <c r="AY382" t="s">
        <v>74</v>
      </c>
      <c r="AZ382" t="s">
        <v>74</v>
      </c>
      <c r="BA382" t="s">
        <v>74</v>
      </c>
      <c r="BB382">
        <v>2265</v>
      </c>
      <c r="BC382">
        <v>2286</v>
      </c>
      <c r="BD382" t="s">
        <v>74</v>
      </c>
      <c r="BE382" t="s">
        <v>5293</v>
      </c>
      <c r="BF382" t="str">
        <f>HYPERLINK("http://dx.doi.org/10.1016/S0967-0637(00)00023-6","http://dx.doi.org/10.1016/S0967-0637(00)00023-6")</f>
        <v>http://dx.doi.org/10.1016/S0967-0637(00)00023-6</v>
      </c>
      <c r="BG382" t="s">
        <v>74</v>
      </c>
      <c r="BH382" t="s">
        <v>74</v>
      </c>
      <c r="BI382">
        <v>22</v>
      </c>
      <c r="BJ382" t="s">
        <v>252</v>
      </c>
      <c r="BK382" t="s">
        <v>94</v>
      </c>
      <c r="BL382" t="s">
        <v>252</v>
      </c>
      <c r="BM382" t="s">
        <v>5294</v>
      </c>
      <c r="BN382" t="s">
        <v>74</v>
      </c>
      <c r="BO382" t="s">
        <v>74</v>
      </c>
      <c r="BP382" t="s">
        <v>74</v>
      </c>
      <c r="BQ382" t="s">
        <v>74</v>
      </c>
      <c r="BR382" t="s">
        <v>97</v>
      </c>
      <c r="BS382" t="s">
        <v>5295</v>
      </c>
      <c r="BT382" t="str">
        <f>HYPERLINK("https%3A%2F%2Fwww.webofscience.com%2Fwos%2Fwoscc%2Ffull-record%2FWOS:000089627900003","View Full Record in Web of Science")</f>
        <v>View Full Record in Web of Science</v>
      </c>
    </row>
    <row r="383" spans="1:72" x14ac:dyDescent="0.15">
      <c r="A383" t="s">
        <v>72</v>
      </c>
      <c r="B383" t="s">
        <v>5296</v>
      </c>
      <c r="C383" t="s">
        <v>74</v>
      </c>
      <c r="D383" t="s">
        <v>74</v>
      </c>
      <c r="E383" t="s">
        <v>74</v>
      </c>
      <c r="F383" t="s">
        <v>5296</v>
      </c>
      <c r="G383" t="s">
        <v>74</v>
      </c>
      <c r="H383" t="s">
        <v>74</v>
      </c>
      <c r="I383" t="s">
        <v>5297</v>
      </c>
      <c r="J383" t="s">
        <v>5298</v>
      </c>
      <c r="K383" t="s">
        <v>74</v>
      </c>
      <c r="L383" t="s">
        <v>74</v>
      </c>
      <c r="M383" t="s">
        <v>77</v>
      </c>
      <c r="N383" t="s">
        <v>78</v>
      </c>
      <c r="O383" t="s">
        <v>74</v>
      </c>
      <c r="P383" t="s">
        <v>74</v>
      </c>
      <c r="Q383" t="s">
        <v>74</v>
      </c>
      <c r="R383" t="s">
        <v>74</v>
      </c>
      <c r="S383" t="s">
        <v>74</v>
      </c>
      <c r="T383" t="s">
        <v>5299</v>
      </c>
      <c r="U383" t="s">
        <v>5300</v>
      </c>
      <c r="V383" t="s">
        <v>5301</v>
      </c>
      <c r="W383" t="s">
        <v>5302</v>
      </c>
      <c r="X383" t="s">
        <v>5303</v>
      </c>
      <c r="Y383" t="s">
        <v>5304</v>
      </c>
      <c r="Z383" t="s">
        <v>74</v>
      </c>
      <c r="AA383" t="s">
        <v>5305</v>
      </c>
      <c r="AB383" t="s">
        <v>5306</v>
      </c>
      <c r="AC383" t="s">
        <v>74</v>
      </c>
      <c r="AD383" t="s">
        <v>74</v>
      </c>
      <c r="AE383" t="s">
        <v>74</v>
      </c>
      <c r="AF383" t="s">
        <v>74</v>
      </c>
      <c r="AG383">
        <v>28</v>
      </c>
      <c r="AH383">
        <v>27</v>
      </c>
      <c r="AI383">
        <v>32</v>
      </c>
      <c r="AJ383">
        <v>0</v>
      </c>
      <c r="AK383">
        <v>22</v>
      </c>
      <c r="AL383" t="s">
        <v>5307</v>
      </c>
      <c r="AM383" t="s">
        <v>1060</v>
      </c>
      <c r="AN383" t="s">
        <v>5308</v>
      </c>
      <c r="AO383" t="s">
        <v>5309</v>
      </c>
      <c r="AP383" t="s">
        <v>74</v>
      </c>
      <c r="AQ383" t="s">
        <v>74</v>
      </c>
      <c r="AR383" t="s">
        <v>5310</v>
      </c>
      <c r="AS383" t="s">
        <v>5311</v>
      </c>
      <c r="AT383" t="s">
        <v>5036</v>
      </c>
      <c r="AU383">
        <v>2000</v>
      </c>
      <c r="AV383">
        <v>10</v>
      </c>
      <c r="AW383">
        <v>6</v>
      </c>
      <c r="AX383" t="s">
        <v>74</v>
      </c>
      <c r="AY383" t="s">
        <v>74</v>
      </c>
      <c r="AZ383" t="s">
        <v>74</v>
      </c>
      <c r="BA383" t="s">
        <v>74</v>
      </c>
      <c r="BB383">
        <v>1806</v>
      </c>
      <c r="BC383">
        <v>1819</v>
      </c>
      <c r="BD383" t="s">
        <v>74</v>
      </c>
      <c r="BE383" t="s">
        <v>5312</v>
      </c>
      <c r="BF383" t="str">
        <f>HYPERLINK("http://dx.doi.org/10.1890/1051-0761(2000)010[1806:MTCOAK]2.0.CO;2","http://dx.doi.org/10.1890/1051-0761(2000)010[1806:MTCOAK]2.0.CO;2")</f>
        <v>http://dx.doi.org/10.1890/1051-0761(2000)010[1806:MTCOAK]2.0.CO;2</v>
      </c>
      <c r="BG383" t="s">
        <v>74</v>
      </c>
      <c r="BH383" t="s">
        <v>74</v>
      </c>
      <c r="BI383">
        <v>14</v>
      </c>
      <c r="BJ383" t="s">
        <v>1906</v>
      </c>
      <c r="BK383" t="s">
        <v>94</v>
      </c>
      <c r="BL383" t="s">
        <v>114</v>
      </c>
      <c r="BM383" t="s">
        <v>5313</v>
      </c>
      <c r="BN383" t="s">
        <v>74</v>
      </c>
      <c r="BO383" t="s">
        <v>74</v>
      </c>
      <c r="BP383" t="s">
        <v>74</v>
      </c>
      <c r="BQ383" t="s">
        <v>74</v>
      </c>
      <c r="BR383" t="s">
        <v>97</v>
      </c>
      <c r="BS383" t="s">
        <v>5314</v>
      </c>
      <c r="BT383" t="str">
        <f>HYPERLINK("https%3A%2F%2Fwww.webofscience.com%2Fwos%2Fwoscc%2Ffull-record%2FWOS:000165680300018","View Full Record in Web of Science")</f>
        <v>View Full Record in Web of Science</v>
      </c>
    </row>
    <row r="384" spans="1:72" x14ac:dyDescent="0.15">
      <c r="A384" t="s">
        <v>72</v>
      </c>
      <c r="B384" t="s">
        <v>5315</v>
      </c>
      <c r="C384" t="s">
        <v>74</v>
      </c>
      <c r="D384" t="s">
        <v>74</v>
      </c>
      <c r="E384" t="s">
        <v>74</v>
      </c>
      <c r="F384" t="s">
        <v>5315</v>
      </c>
      <c r="G384" t="s">
        <v>74</v>
      </c>
      <c r="H384" t="s">
        <v>74</v>
      </c>
      <c r="I384" t="s">
        <v>5316</v>
      </c>
      <c r="J384" t="s">
        <v>5317</v>
      </c>
      <c r="K384" t="s">
        <v>74</v>
      </c>
      <c r="L384" t="s">
        <v>74</v>
      </c>
      <c r="M384" t="s">
        <v>77</v>
      </c>
      <c r="N384" t="s">
        <v>78</v>
      </c>
      <c r="O384" t="s">
        <v>74</v>
      </c>
      <c r="P384" t="s">
        <v>74</v>
      </c>
      <c r="Q384" t="s">
        <v>74</v>
      </c>
      <c r="R384" t="s">
        <v>74</v>
      </c>
      <c r="S384" t="s">
        <v>74</v>
      </c>
      <c r="T384" t="s">
        <v>74</v>
      </c>
      <c r="U384" t="s">
        <v>74</v>
      </c>
      <c r="V384" t="s">
        <v>74</v>
      </c>
      <c r="W384" t="s">
        <v>5318</v>
      </c>
      <c r="X384" t="s">
        <v>74</v>
      </c>
      <c r="Y384" t="s">
        <v>5319</v>
      </c>
      <c r="Z384" t="s">
        <v>74</v>
      </c>
      <c r="AA384" t="s">
        <v>74</v>
      </c>
      <c r="AB384" t="s">
        <v>74</v>
      </c>
      <c r="AC384" t="s">
        <v>74</v>
      </c>
      <c r="AD384" t="s">
        <v>74</v>
      </c>
      <c r="AE384" t="s">
        <v>74</v>
      </c>
      <c r="AF384" t="s">
        <v>74</v>
      </c>
      <c r="AG384">
        <v>0</v>
      </c>
      <c r="AH384">
        <v>0</v>
      </c>
      <c r="AI384">
        <v>0</v>
      </c>
      <c r="AJ384">
        <v>1</v>
      </c>
      <c r="AK384">
        <v>2</v>
      </c>
      <c r="AL384" t="s">
        <v>5320</v>
      </c>
      <c r="AM384" t="s">
        <v>5321</v>
      </c>
      <c r="AN384" t="s">
        <v>5322</v>
      </c>
      <c r="AO384" t="s">
        <v>5323</v>
      </c>
      <c r="AP384" t="s">
        <v>74</v>
      </c>
      <c r="AQ384" t="s">
        <v>74</v>
      </c>
      <c r="AR384" t="s">
        <v>5324</v>
      </c>
      <c r="AS384" t="s">
        <v>5325</v>
      </c>
      <c r="AT384" t="s">
        <v>5326</v>
      </c>
      <c r="AU384">
        <v>2000</v>
      </c>
      <c r="AV384">
        <v>58</v>
      </c>
      <c r="AW384">
        <v>4</v>
      </c>
      <c r="AX384" t="s">
        <v>74</v>
      </c>
      <c r="AY384" t="s">
        <v>74</v>
      </c>
      <c r="AZ384" t="s">
        <v>74</v>
      </c>
      <c r="BA384" t="s">
        <v>74</v>
      </c>
      <c r="BB384">
        <v>69</v>
      </c>
      <c r="BC384">
        <v>72</v>
      </c>
      <c r="BD384" t="s">
        <v>74</v>
      </c>
      <c r="BE384" t="s">
        <v>74</v>
      </c>
      <c r="BF384" t="s">
        <v>74</v>
      </c>
      <c r="BG384" t="s">
        <v>74</v>
      </c>
      <c r="BH384" t="s">
        <v>74</v>
      </c>
      <c r="BI384">
        <v>4</v>
      </c>
      <c r="BJ384" t="s">
        <v>5327</v>
      </c>
      <c r="BK384" t="s">
        <v>657</v>
      </c>
      <c r="BL384" t="s">
        <v>5327</v>
      </c>
      <c r="BM384" t="s">
        <v>5328</v>
      </c>
      <c r="BN384" t="s">
        <v>74</v>
      </c>
      <c r="BO384" t="s">
        <v>74</v>
      </c>
      <c r="BP384" t="s">
        <v>74</v>
      </c>
      <c r="BQ384" t="s">
        <v>74</v>
      </c>
      <c r="BR384" t="s">
        <v>97</v>
      </c>
      <c r="BS384" t="s">
        <v>5329</v>
      </c>
      <c r="BT384" t="str">
        <f>HYPERLINK("https%3A%2F%2Fwww.webofscience.com%2Fwos%2Fwoscc%2Ffull-record%2FWOS:000165886300013","View Full Record in Web of Science")</f>
        <v>View Full Record in Web of Science</v>
      </c>
    </row>
    <row r="385" spans="1:72" x14ac:dyDescent="0.15">
      <c r="A385" t="s">
        <v>72</v>
      </c>
      <c r="B385" t="s">
        <v>5330</v>
      </c>
      <c r="C385" t="s">
        <v>74</v>
      </c>
      <c r="D385" t="s">
        <v>74</v>
      </c>
      <c r="E385" t="s">
        <v>74</v>
      </c>
      <c r="F385" t="s">
        <v>5330</v>
      </c>
      <c r="G385" t="s">
        <v>74</v>
      </c>
      <c r="H385" t="s">
        <v>74</v>
      </c>
      <c r="I385" t="s">
        <v>5331</v>
      </c>
      <c r="J385" t="s">
        <v>5332</v>
      </c>
      <c r="K385" t="s">
        <v>74</v>
      </c>
      <c r="L385" t="s">
        <v>74</v>
      </c>
      <c r="M385" t="s">
        <v>77</v>
      </c>
      <c r="N385" t="s">
        <v>236</v>
      </c>
      <c r="O385" t="s">
        <v>74</v>
      </c>
      <c r="P385" t="s">
        <v>74</v>
      </c>
      <c r="Q385" t="s">
        <v>74</v>
      </c>
      <c r="R385" t="s">
        <v>74</v>
      </c>
      <c r="S385" t="s">
        <v>74</v>
      </c>
      <c r="T385" t="s">
        <v>5333</v>
      </c>
      <c r="U385" t="s">
        <v>5334</v>
      </c>
      <c r="V385" t="s">
        <v>5335</v>
      </c>
      <c r="W385" t="s">
        <v>5336</v>
      </c>
      <c r="X385" t="s">
        <v>5337</v>
      </c>
      <c r="Y385" t="s">
        <v>5338</v>
      </c>
      <c r="Z385" t="s">
        <v>5339</v>
      </c>
      <c r="AA385" t="s">
        <v>5340</v>
      </c>
      <c r="AB385" t="s">
        <v>5341</v>
      </c>
      <c r="AC385" t="s">
        <v>74</v>
      </c>
      <c r="AD385" t="s">
        <v>74</v>
      </c>
      <c r="AE385" t="s">
        <v>74</v>
      </c>
      <c r="AF385" t="s">
        <v>74</v>
      </c>
      <c r="AG385">
        <v>87</v>
      </c>
      <c r="AH385">
        <v>88</v>
      </c>
      <c r="AI385">
        <v>111</v>
      </c>
      <c r="AJ385">
        <v>1</v>
      </c>
      <c r="AK385">
        <v>54</v>
      </c>
      <c r="AL385" t="s">
        <v>5342</v>
      </c>
      <c r="AM385" t="s">
        <v>589</v>
      </c>
      <c r="AN385" t="s">
        <v>5343</v>
      </c>
      <c r="AO385" t="s">
        <v>5344</v>
      </c>
      <c r="AP385" t="s">
        <v>5345</v>
      </c>
      <c r="AQ385" t="s">
        <v>74</v>
      </c>
      <c r="AR385" t="s">
        <v>5332</v>
      </c>
      <c r="AS385" t="s">
        <v>5346</v>
      </c>
      <c r="AT385" t="s">
        <v>5036</v>
      </c>
      <c r="AU385">
        <v>2000</v>
      </c>
      <c r="AV385">
        <v>4</v>
      </c>
      <c r="AW385">
        <v>6</v>
      </c>
      <c r="AX385" t="s">
        <v>74</v>
      </c>
      <c r="AY385" t="s">
        <v>74</v>
      </c>
      <c r="AZ385" t="s">
        <v>74</v>
      </c>
      <c r="BA385" t="s">
        <v>74</v>
      </c>
      <c r="BB385">
        <v>321</v>
      </c>
      <c r="BC385">
        <v>331</v>
      </c>
      <c r="BD385" t="s">
        <v>74</v>
      </c>
      <c r="BE385" t="s">
        <v>5347</v>
      </c>
      <c r="BF385" t="str">
        <f>HYPERLINK("http://dx.doi.org/10.1007/s007920070001","http://dx.doi.org/10.1007/s007920070001")</f>
        <v>http://dx.doi.org/10.1007/s007920070001</v>
      </c>
      <c r="BG385" t="s">
        <v>74</v>
      </c>
      <c r="BH385" t="s">
        <v>74</v>
      </c>
      <c r="BI385">
        <v>11</v>
      </c>
      <c r="BJ385" t="s">
        <v>5348</v>
      </c>
      <c r="BK385" t="s">
        <v>94</v>
      </c>
      <c r="BL385" t="s">
        <v>5348</v>
      </c>
      <c r="BM385" t="s">
        <v>5349</v>
      </c>
      <c r="BN385">
        <v>11139074</v>
      </c>
      <c r="BO385" t="s">
        <v>74</v>
      </c>
      <c r="BP385" t="s">
        <v>74</v>
      </c>
      <c r="BQ385" t="s">
        <v>74</v>
      </c>
      <c r="BR385" t="s">
        <v>97</v>
      </c>
      <c r="BS385" t="s">
        <v>5350</v>
      </c>
      <c r="BT385" t="str">
        <f>HYPERLINK("https%3A%2F%2Fwww.webofscience.com%2Fwos%2Fwoscc%2Ffull-record%2FWOS:000165975700001","View Full Record in Web of Science")</f>
        <v>View Full Record in Web of Science</v>
      </c>
    </row>
    <row r="386" spans="1:72" x14ac:dyDescent="0.15">
      <c r="A386" t="s">
        <v>72</v>
      </c>
      <c r="B386" t="s">
        <v>5351</v>
      </c>
      <c r="C386" t="s">
        <v>74</v>
      </c>
      <c r="D386" t="s">
        <v>74</v>
      </c>
      <c r="E386" t="s">
        <v>74</v>
      </c>
      <c r="F386" t="s">
        <v>5351</v>
      </c>
      <c r="G386" t="s">
        <v>74</v>
      </c>
      <c r="H386" t="s">
        <v>74</v>
      </c>
      <c r="I386" t="s">
        <v>5352</v>
      </c>
      <c r="J386" t="s">
        <v>1053</v>
      </c>
      <c r="K386" t="s">
        <v>74</v>
      </c>
      <c r="L386" t="s">
        <v>74</v>
      </c>
      <c r="M386" t="s">
        <v>77</v>
      </c>
      <c r="N386" t="s">
        <v>78</v>
      </c>
      <c r="O386" t="s">
        <v>74</v>
      </c>
      <c r="P386" t="s">
        <v>74</v>
      </c>
      <c r="Q386" t="s">
        <v>74</v>
      </c>
      <c r="R386" t="s">
        <v>74</v>
      </c>
      <c r="S386" t="s">
        <v>74</v>
      </c>
      <c r="T386" t="s">
        <v>74</v>
      </c>
      <c r="U386" t="s">
        <v>5353</v>
      </c>
      <c r="V386" t="s">
        <v>5354</v>
      </c>
      <c r="W386" t="s">
        <v>5355</v>
      </c>
      <c r="X386" t="s">
        <v>5356</v>
      </c>
      <c r="Y386" t="s">
        <v>5357</v>
      </c>
      <c r="Z386" t="s">
        <v>74</v>
      </c>
      <c r="AA386" t="s">
        <v>5358</v>
      </c>
      <c r="AB386" t="s">
        <v>5359</v>
      </c>
      <c r="AC386" t="s">
        <v>74</v>
      </c>
      <c r="AD386" t="s">
        <v>74</v>
      </c>
      <c r="AE386" t="s">
        <v>74</v>
      </c>
      <c r="AF386" t="s">
        <v>74</v>
      </c>
      <c r="AG386">
        <v>13</v>
      </c>
      <c r="AH386">
        <v>73</v>
      </c>
      <c r="AI386">
        <v>75</v>
      </c>
      <c r="AJ386">
        <v>0</v>
      </c>
      <c r="AK386">
        <v>4</v>
      </c>
      <c r="AL386" t="s">
        <v>1059</v>
      </c>
      <c r="AM386" t="s">
        <v>1060</v>
      </c>
      <c r="AN386" t="s">
        <v>1061</v>
      </c>
      <c r="AO386" t="s">
        <v>1062</v>
      </c>
      <c r="AP386" t="s">
        <v>74</v>
      </c>
      <c r="AQ386" t="s">
        <v>74</v>
      </c>
      <c r="AR386" t="s">
        <v>1063</v>
      </c>
      <c r="AS386" t="s">
        <v>1064</v>
      </c>
      <c r="AT386" t="s">
        <v>5360</v>
      </c>
      <c r="AU386">
        <v>2000</v>
      </c>
      <c r="AV386">
        <v>27</v>
      </c>
      <c r="AW386">
        <v>23</v>
      </c>
      <c r="AX386" t="s">
        <v>74</v>
      </c>
      <c r="AY386" t="s">
        <v>74</v>
      </c>
      <c r="AZ386" t="s">
        <v>74</v>
      </c>
      <c r="BA386" t="s">
        <v>74</v>
      </c>
      <c r="BB386">
        <v>3809</v>
      </c>
      <c r="BC386">
        <v>3812</v>
      </c>
      <c r="BD386" t="s">
        <v>74</v>
      </c>
      <c r="BE386" t="s">
        <v>5361</v>
      </c>
      <c r="BF386" t="str">
        <f>HYPERLINK("http://dx.doi.org/10.1029/2000GL003756","http://dx.doi.org/10.1029/2000GL003756")</f>
        <v>http://dx.doi.org/10.1029/2000GL003756</v>
      </c>
      <c r="BG386" t="s">
        <v>74</v>
      </c>
      <c r="BH386" t="s">
        <v>74</v>
      </c>
      <c r="BI386">
        <v>4</v>
      </c>
      <c r="BJ386" t="s">
        <v>595</v>
      </c>
      <c r="BK386" t="s">
        <v>94</v>
      </c>
      <c r="BL386" t="s">
        <v>597</v>
      </c>
      <c r="BM386" t="s">
        <v>5362</v>
      </c>
      <c r="BN386" t="s">
        <v>74</v>
      </c>
      <c r="BO386" t="s">
        <v>2097</v>
      </c>
      <c r="BP386" t="s">
        <v>74</v>
      </c>
      <c r="BQ386" t="s">
        <v>74</v>
      </c>
      <c r="BR386" t="s">
        <v>97</v>
      </c>
      <c r="BS386" t="s">
        <v>5363</v>
      </c>
      <c r="BT386" t="str">
        <f>HYPERLINK("https%3A%2F%2Fwww.webofscience.com%2Fwos%2Fwoscc%2Ffull-record%2FWOS:000165646700013","View Full Record in Web of Science")</f>
        <v>View Full Record in Web of Science</v>
      </c>
    </row>
    <row r="387" spans="1:72" x14ac:dyDescent="0.15">
      <c r="A387" t="s">
        <v>72</v>
      </c>
      <c r="B387" t="s">
        <v>5364</v>
      </c>
      <c r="C387" t="s">
        <v>74</v>
      </c>
      <c r="D387" t="s">
        <v>74</v>
      </c>
      <c r="E387" t="s">
        <v>74</v>
      </c>
      <c r="F387" t="s">
        <v>5364</v>
      </c>
      <c r="G387" t="s">
        <v>74</v>
      </c>
      <c r="H387" t="s">
        <v>74</v>
      </c>
      <c r="I387" t="s">
        <v>5365</v>
      </c>
      <c r="J387" t="s">
        <v>1053</v>
      </c>
      <c r="K387" t="s">
        <v>74</v>
      </c>
      <c r="L387" t="s">
        <v>74</v>
      </c>
      <c r="M387" t="s">
        <v>77</v>
      </c>
      <c r="N387" t="s">
        <v>78</v>
      </c>
      <c r="O387" t="s">
        <v>74</v>
      </c>
      <c r="P387" t="s">
        <v>74</v>
      </c>
      <c r="Q387" t="s">
        <v>74</v>
      </c>
      <c r="R387" t="s">
        <v>74</v>
      </c>
      <c r="S387" t="s">
        <v>74</v>
      </c>
      <c r="T387" t="s">
        <v>74</v>
      </c>
      <c r="U387" t="s">
        <v>5366</v>
      </c>
      <c r="V387" t="s">
        <v>5367</v>
      </c>
      <c r="W387" t="s">
        <v>3869</v>
      </c>
      <c r="X387" t="s">
        <v>667</v>
      </c>
      <c r="Y387" t="s">
        <v>5368</v>
      </c>
      <c r="Z387" t="s">
        <v>74</v>
      </c>
      <c r="AA387" t="s">
        <v>74</v>
      </c>
      <c r="AB387" t="s">
        <v>74</v>
      </c>
      <c r="AC387" t="s">
        <v>74</v>
      </c>
      <c r="AD387" t="s">
        <v>74</v>
      </c>
      <c r="AE387" t="s">
        <v>74</v>
      </c>
      <c r="AF387" t="s">
        <v>74</v>
      </c>
      <c r="AG387">
        <v>25</v>
      </c>
      <c r="AH387">
        <v>4</v>
      </c>
      <c r="AI387">
        <v>5</v>
      </c>
      <c r="AJ387">
        <v>0</v>
      </c>
      <c r="AK387">
        <v>2</v>
      </c>
      <c r="AL387" t="s">
        <v>1059</v>
      </c>
      <c r="AM387" t="s">
        <v>1060</v>
      </c>
      <c r="AN387" t="s">
        <v>1061</v>
      </c>
      <c r="AO387" t="s">
        <v>1062</v>
      </c>
      <c r="AP387" t="s">
        <v>74</v>
      </c>
      <c r="AQ387" t="s">
        <v>74</v>
      </c>
      <c r="AR387" t="s">
        <v>1063</v>
      </c>
      <c r="AS387" t="s">
        <v>1064</v>
      </c>
      <c r="AT387" t="s">
        <v>5360</v>
      </c>
      <c r="AU387">
        <v>2000</v>
      </c>
      <c r="AV387">
        <v>27</v>
      </c>
      <c r="AW387">
        <v>23</v>
      </c>
      <c r="AX387" t="s">
        <v>74</v>
      </c>
      <c r="AY387" t="s">
        <v>74</v>
      </c>
      <c r="AZ387" t="s">
        <v>74</v>
      </c>
      <c r="BA387" t="s">
        <v>74</v>
      </c>
      <c r="BB387">
        <v>3813</v>
      </c>
      <c r="BC387">
        <v>3816</v>
      </c>
      <c r="BD387" t="s">
        <v>74</v>
      </c>
      <c r="BE387" t="s">
        <v>5369</v>
      </c>
      <c r="BF387" t="str">
        <f>HYPERLINK("http://dx.doi.org/10.1029/2000GL012066","http://dx.doi.org/10.1029/2000GL012066")</f>
        <v>http://dx.doi.org/10.1029/2000GL012066</v>
      </c>
      <c r="BG387" t="s">
        <v>74</v>
      </c>
      <c r="BH387" t="s">
        <v>74</v>
      </c>
      <c r="BI387">
        <v>4</v>
      </c>
      <c r="BJ387" t="s">
        <v>595</v>
      </c>
      <c r="BK387" t="s">
        <v>94</v>
      </c>
      <c r="BL387" t="s">
        <v>597</v>
      </c>
      <c r="BM387" t="s">
        <v>5362</v>
      </c>
      <c r="BN387" t="s">
        <v>74</v>
      </c>
      <c r="BO387" t="s">
        <v>1755</v>
      </c>
      <c r="BP387" t="s">
        <v>74</v>
      </c>
      <c r="BQ387" t="s">
        <v>74</v>
      </c>
      <c r="BR387" t="s">
        <v>97</v>
      </c>
      <c r="BS387" t="s">
        <v>5370</v>
      </c>
      <c r="BT387" t="str">
        <f>HYPERLINK("https%3A%2F%2Fwww.webofscience.com%2Fwos%2Fwoscc%2Ffull-record%2FWOS:000165646700014","View Full Record in Web of Science")</f>
        <v>View Full Record in Web of Science</v>
      </c>
    </row>
    <row r="388" spans="1:72" x14ac:dyDescent="0.15">
      <c r="A388" t="s">
        <v>72</v>
      </c>
      <c r="B388" t="s">
        <v>5371</v>
      </c>
      <c r="C388" t="s">
        <v>74</v>
      </c>
      <c r="D388" t="s">
        <v>74</v>
      </c>
      <c r="E388" t="s">
        <v>74</v>
      </c>
      <c r="F388" t="s">
        <v>5371</v>
      </c>
      <c r="G388" t="s">
        <v>74</v>
      </c>
      <c r="H388" t="s">
        <v>74</v>
      </c>
      <c r="I388" t="s">
        <v>5372</v>
      </c>
      <c r="J388" t="s">
        <v>1053</v>
      </c>
      <c r="K388" t="s">
        <v>74</v>
      </c>
      <c r="L388" t="s">
        <v>74</v>
      </c>
      <c r="M388" t="s">
        <v>77</v>
      </c>
      <c r="N388" t="s">
        <v>78</v>
      </c>
      <c r="O388" t="s">
        <v>74</v>
      </c>
      <c r="P388" t="s">
        <v>74</v>
      </c>
      <c r="Q388" t="s">
        <v>74</v>
      </c>
      <c r="R388" t="s">
        <v>74</v>
      </c>
      <c r="S388" t="s">
        <v>74</v>
      </c>
      <c r="T388" t="s">
        <v>74</v>
      </c>
      <c r="U388" t="s">
        <v>5373</v>
      </c>
      <c r="V388" t="s">
        <v>5374</v>
      </c>
      <c r="W388" t="s">
        <v>5375</v>
      </c>
      <c r="X388" t="s">
        <v>5376</v>
      </c>
      <c r="Y388" t="s">
        <v>5377</v>
      </c>
      <c r="Z388" t="s">
        <v>74</v>
      </c>
      <c r="AA388" t="s">
        <v>5378</v>
      </c>
      <c r="AB388" t="s">
        <v>74</v>
      </c>
      <c r="AC388" t="s">
        <v>74</v>
      </c>
      <c r="AD388" t="s">
        <v>74</v>
      </c>
      <c r="AE388" t="s">
        <v>74</v>
      </c>
      <c r="AF388" t="s">
        <v>74</v>
      </c>
      <c r="AG388">
        <v>14</v>
      </c>
      <c r="AH388">
        <v>18</v>
      </c>
      <c r="AI388">
        <v>18</v>
      </c>
      <c r="AJ388">
        <v>0</v>
      </c>
      <c r="AK388">
        <v>1</v>
      </c>
      <c r="AL388" t="s">
        <v>1059</v>
      </c>
      <c r="AM388" t="s">
        <v>1060</v>
      </c>
      <c r="AN388" t="s">
        <v>1061</v>
      </c>
      <c r="AO388" t="s">
        <v>1062</v>
      </c>
      <c r="AP388" t="s">
        <v>74</v>
      </c>
      <c r="AQ388" t="s">
        <v>74</v>
      </c>
      <c r="AR388" t="s">
        <v>1063</v>
      </c>
      <c r="AS388" t="s">
        <v>1064</v>
      </c>
      <c r="AT388" t="s">
        <v>5360</v>
      </c>
      <c r="AU388">
        <v>2000</v>
      </c>
      <c r="AV388">
        <v>27</v>
      </c>
      <c r="AW388">
        <v>23</v>
      </c>
      <c r="AX388" t="s">
        <v>74</v>
      </c>
      <c r="AY388" t="s">
        <v>74</v>
      </c>
      <c r="AZ388" t="s">
        <v>74</v>
      </c>
      <c r="BA388" t="s">
        <v>74</v>
      </c>
      <c r="BB388">
        <v>3845</v>
      </c>
      <c r="BC388">
        <v>3848</v>
      </c>
      <c r="BD388" t="s">
        <v>74</v>
      </c>
      <c r="BE388" t="s">
        <v>5379</v>
      </c>
      <c r="BF388" t="str">
        <f>HYPERLINK("http://dx.doi.org/10.1029/2000GL011441","http://dx.doi.org/10.1029/2000GL011441")</f>
        <v>http://dx.doi.org/10.1029/2000GL011441</v>
      </c>
      <c r="BG388" t="s">
        <v>74</v>
      </c>
      <c r="BH388" t="s">
        <v>74</v>
      </c>
      <c r="BI388">
        <v>4</v>
      </c>
      <c r="BJ388" t="s">
        <v>595</v>
      </c>
      <c r="BK388" t="s">
        <v>94</v>
      </c>
      <c r="BL388" t="s">
        <v>597</v>
      </c>
      <c r="BM388" t="s">
        <v>5362</v>
      </c>
      <c r="BN388" t="s">
        <v>74</v>
      </c>
      <c r="BO388" t="s">
        <v>1755</v>
      </c>
      <c r="BP388" t="s">
        <v>74</v>
      </c>
      <c r="BQ388" t="s">
        <v>74</v>
      </c>
      <c r="BR388" t="s">
        <v>97</v>
      </c>
      <c r="BS388" t="s">
        <v>5380</v>
      </c>
      <c r="BT388" t="str">
        <f>HYPERLINK("https%3A%2F%2Fwww.webofscience.com%2Fwos%2Fwoscc%2Ffull-record%2FWOS:000165646700022","View Full Record in Web of Science")</f>
        <v>View Full Record in Web of Science</v>
      </c>
    </row>
    <row r="389" spans="1:72" x14ac:dyDescent="0.15">
      <c r="A389" t="s">
        <v>72</v>
      </c>
      <c r="B389" t="s">
        <v>5381</v>
      </c>
      <c r="C389" t="s">
        <v>74</v>
      </c>
      <c r="D389" t="s">
        <v>74</v>
      </c>
      <c r="E389" t="s">
        <v>74</v>
      </c>
      <c r="F389" t="s">
        <v>5381</v>
      </c>
      <c r="G389" t="s">
        <v>74</v>
      </c>
      <c r="H389" t="s">
        <v>74</v>
      </c>
      <c r="I389" t="s">
        <v>5382</v>
      </c>
      <c r="J389" t="s">
        <v>5383</v>
      </c>
      <c r="K389" t="s">
        <v>74</v>
      </c>
      <c r="L389" t="s">
        <v>74</v>
      </c>
      <c r="M389" t="s">
        <v>77</v>
      </c>
      <c r="N389" t="s">
        <v>78</v>
      </c>
      <c r="O389" t="s">
        <v>74</v>
      </c>
      <c r="P389" t="s">
        <v>74</v>
      </c>
      <c r="Q389" t="s">
        <v>74</v>
      </c>
      <c r="R389" t="s">
        <v>74</v>
      </c>
      <c r="S389" t="s">
        <v>74</v>
      </c>
      <c r="T389" t="s">
        <v>74</v>
      </c>
      <c r="U389" t="s">
        <v>5384</v>
      </c>
      <c r="V389" t="s">
        <v>5385</v>
      </c>
      <c r="W389" t="s">
        <v>5386</v>
      </c>
      <c r="X389" t="s">
        <v>5387</v>
      </c>
      <c r="Y389" t="s">
        <v>5388</v>
      </c>
      <c r="Z389" t="s">
        <v>74</v>
      </c>
      <c r="AA389" t="s">
        <v>5389</v>
      </c>
      <c r="AB389" t="s">
        <v>5390</v>
      </c>
      <c r="AC389" t="s">
        <v>74</v>
      </c>
      <c r="AD389" t="s">
        <v>74</v>
      </c>
      <c r="AE389" t="s">
        <v>74</v>
      </c>
      <c r="AF389" t="s">
        <v>74</v>
      </c>
      <c r="AG389">
        <v>92</v>
      </c>
      <c r="AH389">
        <v>142</v>
      </c>
      <c r="AI389">
        <v>147</v>
      </c>
      <c r="AJ389">
        <v>4</v>
      </c>
      <c r="AK389">
        <v>26</v>
      </c>
      <c r="AL389" t="s">
        <v>1059</v>
      </c>
      <c r="AM389" t="s">
        <v>1060</v>
      </c>
      <c r="AN389" t="s">
        <v>1061</v>
      </c>
      <c r="AO389" t="s">
        <v>5391</v>
      </c>
      <c r="AP389" t="s">
        <v>74</v>
      </c>
      <c r="AQ389" t="s">
        <v>74</v>
      </c>
      <c r="AR389" t="s">
        <v>5392</v>
      </c>
      <c r="AS389" t="s">
        <v>5393</v>
      </c>
      <c r="AT389" t="s">
        <v>5036</v>
      </c>
      <c r="AU389">
        <v>2000</v>
      </c>
      <c r="AV389">
        <v>14</v>
      </c>
      <c r="AW389">
        <v>4</v>
      </c>
      <c r="AX389" t="s">
        <v>74</v>
      </c>
      <c r="AY389" t="s">
        <v>74</v>
      </c>
      <c r="AZ389" t="s">
        <v>74</v>
      </c>
      <c r="BA389" t="s">
        <v>74</v>
      </c>
      <c r="BB389">
        <v>1247</v>
      </c>
      <c r="BC389">
        <v>1265</v>
      </c>
      <c r="BD389" t="s">
        <v>74</v>
      </c>
      <c r="BE389" t="s">
        <v>5394</v>
      </c>
      <c r="BF389" t="str">
        <f>HYPERLINK("http://dx.doi.org/10.1029/1999GB900049","http://dx.doi.org/10.1029/1999GB900049")</f>
        <v>http://dx.doi.org/10.1029/1999GB900049</v>
      </c>
      <c r="BG389" t="s">
        <v>74</v>
      </c>
      <c r="BH389" t="s">
        <v>74</v>
      </c>
      <c r="BI389">
        <v>19</v>
      </c>
      <c r="BJ389" t="s">
        <v>5395</v>
      </c>
      <c r="BK389" t="s">
        <v>94</v>
      </c>
      <c r="BL389" t="s">
        <v>5396</v>
      </c>
      <c r="BM389" t="s">
        <v>5397</v>
      </c>
      <c r="BN389" t="s">
        <v>74</v>
      </c>
      <c r="BO389" t="s">
        <v>2097</v>
      </c>
      <c r="BP389" t="s">
        <v>74</v>
      </c>
      <c r="BQ389" t="s">
        <v>74</v>
      </c>
      <c r="BR389" t="s">
        <v>97</v>
      </c>
      <c r="BS389" t="s">
        <v>5398</v>
      </c>
      <c r="BT389" t="str">
        <f>HYPERLINK("https%3A%2F%2Fwww.webofscience.com%2Fwos%2Fwoscc%2Ffull-record%2FWOS:000166341000020","View Full Record in Web of Science")</f>
        <v>View Full Record in Web of Science</v>
      </c>
    </row>
    <row r="390" spans="1:72" x14ac:dyDescent="0.15">
      <c r="A390" t="s">
        <v>72</v>
      </c>
      <c r="B390" t="s">
        <v>5399</v>
      </c>
      <c r="C390" t="s">
        <v>74</v>
      </c>
      <c r="D390" t="s">
        <v>74</v>
      </c>
      <c r="E390" t="s">
        <v>74</v>
      </c>
      <c r="F390" t="s">
        <v>5399</v>
      </c>
      <c r="G390" t="s">
        <v>74</v>
      </c>
      <c r="H390" t="s">
        <v>74</v>
      </c>
      <c r="I390" t="s">
        <v>5400</v>
      </c>
      <c r="J390" t="s">
        <v>5401</v>
      </c>
      <c r="K390" t="s">
        <v>74</v>
      </c>
      <c r="L390" t="s">
        <v>74</v>
      </c>
      <c r="M390" t="s">
        <v>77</v>
      </c>
      <c r="N390" t="s">
        <v>78</v>
      </c>
      <c r="O390" t="s">
        <v>74</v>
      </c>
      <c r="P390" t="s">
        <v>74</v>
      </c>
      <c r="Q390" t="s">
        <v>74</v>
      </c>
      <c r="R390" t="s">
        <v>74</v>
      </c>
      <c r="S390" t="s">
        <v>74</v>
      </c>
      <c r="T390" t="s">
        <v>5402</v>
      </c>
      <c r="U390" t="s">
        <v>5403</v>
      </c>
      <c r="V390" t="s">
        <v>5404</v>
      </c>
      <c r="W390" t="s">
        <v>5405</v>
      </c>
      <c r="X390" t="s">
        <v>5406</v>
      </c>
      <c r="Y390" t="s">
        <v>5407</v>
      </c>
      <c r="Z390" t="s">
        <v>74</v>
      </c>
      <c r="AA390" t="s">
        <v>74</v>
      </c>
      <c r="AB390" t="s">
        <v>5408</v>
      </c>
      <c r="AC390" t="s">
        <v>74</v>
      </c>
      <c r="AD390" t="s">
        <v>74</v>
      </c>
      <c r="AE390" t="s">
        <v>74</v>
      </c>
      <c r="AF390" t="s">
        <v>74</v>
      </c>
      <c r="AG390">
        <v>29</v>
      </c>
      <c r="AH390">
        <v>25</v>
      </c>
      <c r="AI390">
        <v>27</v>
      </c>
      <c r="AJ390">
        <v>0</v>
      </c>
      <c r="AK390">
        <v>5</v>
      </c>
      <c r="AL390" t="s">
        <v>5212</v>
      </c>
      <c r="AM390" t="s">
        <v>5213</v>
      </c>
      <c r="AN390" t="s">
        <v>5214</v>
      </c>
      <c r="AO390" t="s">
        <v>5409</v>
      </c>
      <c r="AP390" t="s">
        <v>74</v>
      </c>
      <c r="AQ390" t="s">
        <v>74</v>
      </c>
      <c r="AR390" t="s">
        <v>5410</v>
      </c>
      <c r="AS390" t="s">
        <v>5411</v>
      </c>
      <c r="AT390" t="s">
        <v>5036</v>
      </c>
      <c r="AU390">
        <v>2000</v>
      </c>
      <c r="AV390">
        <v>78</v>
      </c>
      <c r="AW390">
        <v>6</v>
      </c>
      <c r="AX390" t="s">
        <v>74</v>
      </c>
      <c r="AY390" t="s">
        <v>74</v>
      </c>
      <c r="AZ390" t="s">
        <v>74</v>
      </c>
      <c r="BA390" t="s">
        <v>74</v>
      </c>
      <c r="BB390">
        <v>616</v>
      </c>
      <c r="BC390">
        <v>622</v>
      </c>
      <c r="BD390" t="s">
        <v>74</v>
      </c>
      <c r="BE390" t="s">
        <v>5412</v>
      </c>
      <c r="BF390" t="str">
        <f>HYPERLINK("http://dx.doi.org/10.1046/j.1440-1711.2000.00958.x","http://dx.doi.org/10.1046/j.1440-1711.2000.00958.x")</f>
        <v>http://dx.doi.org/10.1046/j.1440-1711.2000.00958.x</v>
      </c>
      <c r="BG390" t="s">
        <v>74</v>
      </c>
      <c r="BH390" t="s">
        <v>74</v>
      </c>
      <c r="BI390">
        <v>7</v>
      </c>
      <c r="BJ390" t="s">
        <v>5413</v>
      </c>
      <c r="BK390" t="s">
        <v>94</v>
      </c>
      <c r="BL390" t="s">
        <v>5413</v>
      </c>
      <c r="BM390" t="s">
        <v>5414</v>
      </c>
      <c r="BN390">
        <v>11114972</v>
      </c>
      <c r="BO390" t="s">
        <v>74</v>
      </c>
      <c r="BP390" t="s">
        <v>74</v>
      </c>
      <c r="BQ390" t="s">
        <v>74</v>
      </c>
      <c r="BR390" t="s">
        <v>97</v>
      </c>
      <c r="BS390" t="s">
        <v>5415</v>
      </c>
      <c r="BT390" t="str">
        <f>HYPERLINK("https%3A%2F%2Fwww.webofscience.com%2Fwos%2Fwoscc%2Ffull-record%2FWOS:000165662800007","View Full Record in Web of Science")</f>
        <v>View Full Record in Web of Science</v>
      </c>
    </row>
    <row r="391" spans="1:72" x14ac:dyDescent="0.15">
      <c r="A391" t="s">
        <v>72</v>
      </c>
      <c r="B391" t="s">
        <v>5416</v>
      </c>
      <c r="C391" t="s">
        <v>74</v>
      </c>
      <c r="D391" t="s">
        <v>74</v>
      </c>
      <c r="E391" t="s">
        <v>74</v>
      </c>
      <c r="F391" t="s">
        <v>5416</v>
      </c>
      <c r="G391" t="s">
        <v>74</v>
      </c>
      <c r="H391" t="s">
        <v>74</v>
      </c>
      <c r="I391" t="s">
        <v>5417</v>
      </c>
      <c r="J391" t="s">
        <v>5418</v>
      </c>
      <c r="K391" t="s">
        <v>74</v>
      </c>
      <c r="L391" t="s">
        <v>74</v>
      </c>
      <c r="M391" t="s">
        <v>77</v>
      </c>
      <c r="N391" t="s">
        <v>5419</v>
      </c>
      <c r="O391" t="s">
        <v>74</v>
      </c>
      <c r="P391" t="s">
        <v>74</v>
      </c>
      <c r="Q391" t="s">
        <v>74</v>
      </c>
      <c r="R391" t="s">
        <v>74</v>
      </c>
      <c r="S391" t="s">
        <v>74</v>
      </c>
      <c r="T391" t="s">
        <v>74</v>
      </c>
      <c r="U391" t="s">
        <v>74</v>
      </c>
      <c r="V391" t="s">
        <v>74</v>
      </c>
      <c r="W391" t="s">
        <v>74</v>
      </c>
      <c r="X391" t="s">
        <v>74</v>
      </c>
      <c r="Y391" t="s">
        <v>74</v>
      </c>
      <c r="Z391" t="s">
        <v>74</v>
      </c>
      <c r="AA391" t="s">
        <v>74</v>
      </c>
      <c r="AB391" t="s">
        <v>74</v>
      </c>
      <c r="AC391" t="s">
        <v>74</v>
      </c>
      <c r="AD391" t="s">
        <v>74</v>
      </c>
      <c r="AE391" t="s">
        <v>74</v>
      </c>
      <c r="AF391" t="s">
        <v>74</v>
      </c>
      <c r="AG391">
        <v>1</v>
      </c>
      <c r="AH391">
        <v>0</v>
      </c>
      <c r="AI391">
        <v>0</v>
      </c>
      <c r="AJ391">
        <v>0</v>
      </c>
      <c r="AK391">
        <v>0</v>
      </c>
      <c r="AL391" t="s">
        <v>5420</v>
      </c>
      <c r="AM391" t="s">
        <v>5421</v>
      </c>
      <c r="AN391" t="s">
        <v>5422</v>
      </c>
      <c r="AO391" t="s">
        <v>5423</v>
      </c>
      <c r="AP391" t="s">
        <v>74</v>
      </c>
      <c r="AQ391" t="s">
        <v>74</v>
      </c>
      <c r="AR391" t="s">
        <v>5424</v>
      </c>
      <c r="AS391" t="s">
        <v>5425</v>
      </c>
      <c r="AT391" t="s">
        <v>5036</v>
      </c>
      <c r="AU391">
        <v>2000</v>
      </c>
      <c r="AV391">
        <v>22</v>
      </c>
      <c r="AW391">
        <v>4</v>
      </c>
      <c r="AX391" t="s">
        <v>74</v>
      </c>
      <c r="AY391" t="s">
        <v>74</v>
      </c>
      <c r="AZ391" t="s">
        <v>74</v>
      </c>
      <c r="BA391" t="s">
        <v>74</v>
      </c>
      <c r="BB391">
        <v>934</v>
      </c>
      <c r="BC391">
        <v>935</v>
      </c>
      <c r="BD391" t="s">
        <v>74</v>
      </c>
      <c r="BE391" t="s">
        <v>74</v>
      </c>
      <c r="BF391" t="s">
        <v>74</v>
      </c>
      <c r="BG391" t="s">
        <v>74</v>
      </c>
      <c r="BH391" t="s">
        <v>74</v>
      </c>
      <c r="BI391">
        <v>2</v>
      </c>
      <c r="BJ391" t="s">
        <v>5426</v>
      </c>
      <c r="BK391" t="s">
        <v>5427</v>
      </c>
      <c r="BL391" t="s">
        <v>5426</v>
      </c>
      <c r="BM391" t="s">
        <v>5428</v>
      </c>
      <c r="BN391" t="s">
        <v>74</v>
      </c>
      <c r="BO391" t="s">
        <v>74</v>
      </c>
      <c r="BP391" t="s">
        <v>74</v>
      </c>
      <c r="BQ391" t="s">
        <v>74</v>
      </c>
      <c r="BR391" t="s">
        <v>97</v>
      </c>
      <c r="BS391" t="s">
        <v>5429</v>
      </c>
      <c r="BT391" t="str">
        <f>HYPERLINK("https%3A%2F%2Fwww.webofscience.com%2Fwos%2Fwoscc%2Ffull-record%2FWOS:000165899600040","View Full Record in Web of Science")</f>
        <v>View Full Record in Web of Science</v>
      </c>
    </row>
    <row r="392" spans="1:72" x14ac:dyDescent="0.15">
      <c r="A392" t="s">
        <v>72</v>
      </c>
      <c r="B392" t="s">
        <v>5430</v>
      </c>
      <c r="C392" t="s">
        <v>74</v>
      </c>
      <c r="D392" t="s">
        <v>74</v>
      </c>
      <c r="E392" t="s">
        <v>74</v>
      </c>
      <c r="F392" t="s">
        <v>5430</v>
      </c>
      <c r="G392" t="s">
        <v>74</v>
      </c>
      <c r="H392" t="s">
        <v>74</v>
      </c>
      <c r="I392" t="s">
        <v>5431</v>
      </c>
      <c r="J392" t="s">
        <v>1518</v>
      </c>
      <c r="K392" t="s">
        <v>74</v>
      </c>
      <c r="L392" t="s">
        <v>74</v>
      </c>
      <c r="M392" t="s">
        <v>77</v>
      </c>
      <c r="N392" t="s">
        <v>78</v>
      </c>
      <c r="O392" t="s">
        <v>74</v>
      </c>
      <c r="P392" t="s">
        <v>74</v>
      </c>
      <c r="Q392" t="s">
        <v>74</v>
      </c>
      <c r="R392" t="s">
        <v>74</v>
      </c>
      <c r="S392" t="s">
        <v>74</v>
      </c>
      <c r="T392" t="s">
        <v>5432</v>
      </c>
      <c r="U392" t="s">
        <v>5433</v>
      </c>
      <c r="V392" t="s">
        <v>5434</v>
      </c>
      <c r="W392" t="s">
        <v>5435</v>
      </c>
      <c r="X392" t="s">
        <v>5436</v>
      </c>
      <c r="Y392" t="s">
        <v>5437</v>
      </c>
      <c r="Z392" t="s">
        <v>74</v>
      </c>
      <c r="AA392" t="s">
        <v>5438</v>
      </c>
      <c r="AB392" t="s">
        <v>5439</v>
      </c>
      <c r="AC392" t="s">
        <v>74</v>
      </c>
      <c r="AD392" t="s">
        <v>74</v>
      </c>
      <c r="AE392" t="s">
        <v>74</v>
      </c>
      <c r="AF392" t="s">
        <v>74</v>
      </c>
      <c r="AG392">
        <v>36</v>
      </c>
      <c r="AH392">
        <v>138</v>
      </c>
      <c r="AI392">
        <v>140</v>
      </c>
      <c r="AJ392">
        <v>0</v>
      </c>
      <c r="AK392">
        <v>12</v>
      </c>
      <c r="AL392" t="s">
        <v>4249</v>
      </c>
      <c r="AM392" t="s">
        <v>4250</v>
      </c>
      <c r="AN392" t="s">
        <v>4251</v>
      </c>
      <c r="AO392" t="s">
        <v>1528</v>
      </c>
      <c r="AP392" t="s">
        <v>74</v>
      </c>
      <c r="AQ392" t="s">
        <v>74</v>
      </c>
      <c r="AR392" t="s">
        <v>1530</v>
      </c>
      <c r="AS392" t="s">
        <v>1531</v>
      </c>
      <c r="AT392" t="s">
        <v>5036</v>
      </c>
      <c r="AU392">
        <v>2000</v>
      </c>
      <c r="AV392">
        <v>20</v>
      </c>
      <c r="AW392">
        <v>15</v>
      </c>
      <c r="AX392" t="s">
        <v>74</v>
      </c>
      <c r="AY392" t="s">
        <v>74</v>
      </c>
      <c r="AZ392" t="s">
        <v>74</v>
      </c>
      <c r="BA392" t="s">
        <v>74</v>
      </c>
      <c r="BB392">
        <v>1913</v>
      </c>
      <c r="BC392">
        <v>1930</v>
      </c>
      <c r="BD392" t="s">
        <v>74</v>
      </c>
      <c r="BE392" t="s">
        <v>5440</v>
      </c>
      <c r="BF392" t="str">
        <f>HYPERLINK("http://dx.doi.org/10.1002/1097-0088(200012)20:15&lt;1913::AID-JOC594&gt;3.0.CO;2-J","http://dx.doi.org/10.1002/1097-0088(200012)20:15&lt;1913::AID-JOC594&gt;3.0.CO;2-J")</f>
        <v>http://dx.doi.org/10.1002/1097-0088(200012)20:15&lt;1913::AID-JOC594&gt;3.0.CO;2-J</v>
      </c>
      <c r="BG392" t="s">
        <v>74</v>
      </c>
      <c r="BH392" t="s">
        <v>74</v>
      </c>
      <c r="BI392">
        <v>18</v>
      </c>
      <c r="BJ392" t="s">
        <v>167</v>
      </c>
      <c r="BK392" t="s">
        <v>94</v>
      </c>
      <c r="BL392" t="s">
        <v>167</v>
      </c>
      <c r="BM392" t="s">
        <v>5441</v>
      </c>
      <c r="BN392" t="s">
        <v>74</v>
      </c>
      <c r="BO392" t="s">
        <v>74</v>
      </c>
      <c r="BP392" t="s">
        <v>74</v>
      </c>
      <c r="BQ392" t="s">
        <v>74</v>
      </c>
      <c r="BR392" t="s">
        <v>97</v>
      </c>
      <c r="BS392" t="s">
        <v>5442</v>
      </c>
      <c r="BT392" t="str">
        <f>HYPERLINK("https%3A%2F%2Fwww.webofscience.com%2Fwos%2Fwoscc%2Ffull-record%2FWOS:000166099400003","View Full Record in Web of Science")</f>
        <v>View Full Record in Web of Science</v>
      </c>
    </row>
    <row r="393" spans="1:72" x14ac:dyDescent="0.15">
      <c r="A393" t="s">
        <v>72</v>
      </c>
      <c r="B393" t="s">
        <v>5443</v>
      </c>
      <c r="C393" t="s">
        <v>74</v>
      </c>
      <c r="D393" t="s">
        <v>74</v>
      </c>
      <c r="E393" t="s">
        <v>74</v>
      </c>
      <c r="F393" t="s">
        <v>5443</v>
      </c>
      <c r="G393" t="s">
        <v>74</v>
      </c>
      <c r="H393" t="s">
        <v>74</v>
      </c>
      <c r="I393" t="s">
        <v>5444</v>
      </c>
      <c r="J393" t="s">
        <v>5445</v>
      </c>
      <c r="K393" t="s">
        <v>74</v>
      </c>
      <c r="L393" t="s">
        <v>74</v>
      </c>
      <c r="M393" t="s">
        <v>77</v>
      </c>
      <c r="N393" t="s">
        <v>78</v>
      </c>
      <c r="O393" t="s">
        <v>74</v>
      </c>
      <c r="P393" t="s">
        <v>74</v>
      </c>
      <c r="Q393" t="s">
        <v>74</v>
      </c>
      <c r="R393" t="s">
        <v>74</v>
      </c>
      <c r="S393" t="s">
        <v>74</v>
      </c>
      <c r="T393" t="s">
        <v>5446</v>
      </c>
      <c r="U393" t="s">
        <v>5447</v>
      </c>
      <c r="V393" t="s">
        <v>5448</v>
      </c>
      <c r="W393" t="s">
        <v>5449</v>
      </c>
      <c r="X393" t="s">
        <v>5450</v>
      </c>
      <c r="Y393" t="s">
        <v>5451</v>
      </c>
      <c r="Z393" t="s">
        <v>74</v>
      </c>
      <c r="AA393" t="s">
        <v>5452</v>
      </c>
      <c r="AB393" t="s">
        <v>5453</v>
      </c>
      <c r="AC393" t="s">
        <v>74</v>
      </c>
      <c r="AD393" t="s">
        <v>74</v>
      </c>
      <c r="AE393" t="s">
        <v>74</v>
      </c>
      <c r="AF393" t="s">
        <v>74</v>
      </c>
      <c r="AG393">
        <v>33</v>
      </c>
      <c r="AH393">
        <v>41</v>
      </c>
      <c r="AI393">
        <v>43</v>
      </c>
      <c r="AJ393">
        <v>0</v>
      </c>
      <c r="AK393">
        <v>11</v>
      </c>
      <c r="AL393" t="s">
        <v>5454</v>
      </c>
      <c r="AM393" t="s">
        <v>1060</v>
      </c>
      <c r="AN393" t="s">
        <v>5455</v>
      </c>
      <c r="AO393" t="s">
        <v>5456</v>
      </c>
      <c r="AP393" t="s">
        <v>74</v>
      </c>
      <c r="AQ393" t="s">
        <v>74</v>
      </c>
      <c r="AR393" t="s">
        <v>5457</v>
      </c>
      <c r="AS393" t="s">
        <v>5458</v>
      </c>
      <c r="AT393" t="s">
        <v>5036</v>
      </c>
      <c r="AU393">
        <v>2000</v>
      </c>
      <c r="AV393">
        <v>5</v>
      </c>
      <c r="AW393">
        <v>4</v>
      </c>
      <c r="AX393" t="s">
        <v>74</v>
      </c>
      <c r="AY393" t="s">
        <v>74</v>
      </c>
      <c r="AZ393" t="s">
        <v>74</v>
      </c>
      <c r="BA393" t="s">
        <v>74</v>
      </c>
      <c r="BB393">
        <v>475</v>
      </c>
      <c r="BC393">
        <v>485</v>
      </c>
      <c r="BD393" t="s">
        <v>74</v>
      </c>
      <c r="BE393" t="s">
        <v>5459</v>
      </c>
      <c r="BF393" t="str">
        <f>HYPERLINK("http://dx.doi.org/10.2307/1400661","http://dx.doi.org/10.2307/1400661")</f>
        <v>http://dx.doi.org/10.2307/1400661</v>
      </c>
      <c r="BG393" t="s">
        <v>74</v>
      </c>
      <c r="BH393" t="s">
        <v>74</v>
      </c>
      <c r="BI393">
        <v>11</v>
      </c>
      <c r="BJ393" t="s">
        <v>5460</v>
      </c>
      <c r="BK393" t="s">
        <v>94</v>
      </c>
      <c r="BL393" t="s">
        <v>5461</v>
      </c>
      <c r="BM393" t="s">
        <v>5462</v>
      </c>
      <c r="BN393" t="s">
        <v>74</v>
      </c>
      <c r="BO393" t="s">
        <v>74</v>
      </c>
      <c r="BP393" t="s">
        <v>74</v>
      </c>
      <c r="BQ393" t="s">
        <v>74</v>
      </c>
      <c r="BR393" t="s">
        <v>97</v>
      </c>
      <c r="BS393" t="s">
        <v>5463</v>
      </c>
      <c r="BT393" t="str">
        <f>HYPERLINK("https%3A%2F%2Fwww.webofscience.com%2Fwos%2Fwoscc%2Ffull-record%2FWOS:000165815500006","View Full Record in Web of Science")</f>
        <v>View Full Record in Web of Science</v>
      </c>
    </row>
    <row r="394" spans="1:72" x14ac:dyDescent="0.15">
      <c r="A394" t="s">
        <v>72</v>
      </c>
      <c r="B394" t="s">
        <v>5464</v>
      </c>
      <c r="C394" t="s">
        <v>74</v>
      </c>
      <c r="D394" t="s">
        <v>74</v>
      </c>
      <c r="E394" t="s">
        <v>74</v>
      </c>
      <c r="F394" t="s">
        <v>5464</v>
      </c>
      <c r="G394" t="s">
        <v>74</v>
      </c>
      <c r="H394" t="s">
        <v>74</v>
      </c>
      <c r="I394" t="s">
        <v>5465</v>
      </c>
      <c r="J394" t="s">
        <v>5466</v>
      </c>
      <c r="K394" t="s">
        <v>74</v>
      </c>
      <c r="L394" t="s">
        <v>74</v>
      </c>
      <c r="M394" t="s">
        <v>77</v>
      </c>
      <c r="N394" t="s">
        <v>78</v>
      </c>
      <c r="O394" t="s">
        <v>74</v>
      </c>
      <c r="P394" t="s">
        <v>74</v>
      </c>
      <c r="Q394" t="s">
        <v>74</v>
      </c>
      <c r="R394" t="s">
        <v>74</v>
      </c>
      <c r="S394" t="s">
        <v>74</v>
      </c>
      <c r="T394" t="s">
        <v>74</v>
      </c>
      <c r="U394" t="s">
        <v>5467</v>
      </c>
      <c r="V394" t="s">
        <v>5468</v>
      </c>
      <c r="W394" t="s">
        <v>5469</v>
      </c>
      <c r="X394" t="s">
        <v>5470</v>
      </c>
      <c r="Y394" t="s">
        <v>5471</v>
      </c>
      <c r="Z394" t="s">
        <v>5472</v>
      </c>
      <c r="AA394" t="s">
        <v>5473</v>
      </c>
      <c r="AB394" t="s">
        <v>5474</v>
      </c>
      <c r="AC394" t="s">
        <v>74</v>
      </c>
      <c r="AD394" t="s">
        <v>74</v>
      </c>
      <c r="AE394" t="s">
        <v>74</v>
      </c>
      <c r="AF394" t="s">
        <v>74</v>
      </c>
      <c r="AG394">
        <v>36</v>
      </c>
      <c r="AH394">
        <v>6</v>
      </c>
      <c r="AI394">
        <v>7</v>
      </c>
      <c r="AJ394">
        <v>0</v>
      </c>
      <c r="AK394">
        <v>6</v>
      </c>
      <c r="AL394" t="s">
        <v>813</v>
      </c>
      <c r="AM394" t="s">
        <v>814</v>
      </c>
      <c r="AN394" t="s">
        <v>815</v>
      </c>
      <c r="AO394" t="s">
        <v>5475</v>
      </c>
      <c r="AP394" t="s">
        <v>5476</v>
      </c>
      <c r="AQ394" t="s">
        <v>74</v>
      </c>
      <c r="AR394" t="s">
        <v>5477</v>
      </c>
      <c r="AS394" t="s">
        <v>5478</v>
      </c>
      <c r="AT394" t="s">
        <v>5036</v>
      </c>
      <c r="AU394">
        <v>2000</v>
      </c>
      <c r="AV394">
        <v>31</v>
      </c>
      <c r="AW394">
        <v>4</v>
      </c>
      <c r="AX394" t="s">
        <v>74</v>
      </c>
      <c r="AY394" t="s">
        <v>74</v>
      </c>
      <c r="AZ394" t="s">
        <v>74</v>
      </c>
      <c r="BA394" t="s">
        <v>74</v>
      </c>
      <c r="BB394">
        <v>522</v>
      </c>
      <c r="BC394">
        <v>526</v>
      </c>
      <c r="BD394" t="s">
        <v>74</v>
      </c>
      <c r="BE394" t="s">
        <v>5479</v>
      </c>
      <c r="BF394" t="str">
        <f>HYPERLINK("http://dx.doi.org/10.1034/j.1600-048X.2000.310412.x","http://dx.doi.org/10.1034/j.1600-048X.2000.310412.x")</f>
        <v>http://dx.doi.org/10.1034/j.1600-048X.2000.310412.x</v>
      </c>
      <c r="BG394" t="s">
        <v>74</v>
      </c>
      <c r="BH394" t="s">
        <v>74</v>
      </c>
      <c r="BI394">
        <v>5</v>
      </c>
      <c r="BJ394" t="s">
        <v>675</v>
      </c>
      <c r="BK394" t="s">
        <v>94</v>
      </c>
      <c r="BL394" t="s">
        <v>206</v>
      </c>
      <c r="BM394" t="s">
        <v>5480</v>
      </c>
      <c r="BN394" t="s">
        <v>74</v>
      </c>
      <c r="BO394" t="s">
        <v>74</v>
      </c>
      <c r="BP394" t="s">
        <v>74</v>
      </c>
      <c r="BQ394" t="s">
        <v>74</v>
      </c>
      <c r="BR394" t="s">
        <v>97</v>
      </c>
      <c r="BS394" t="s">
        <v>5481</v>
      </c>
      <c r="BT394" t="str">
        <f>HYPERLINK("https%3A%2F%2Fwww.webofscience.com%2Fwos%2Fwoscc%2Ffull-record%2FWOS:000166802000012","View Full Record in Web of Science")</f>
        <v>View Full Record in Web of Science</v>
      </c>
    </row>
    <row r="395" spans="1:72" x14ac:dyDescent="0.15">
      <c r="A395" t="s">
        <v>72</v>
      </c>
      <c r="B395" t="s">
        <v>5482</v>
      </c>
      <c r="C395" t="s">
        <v>74</v>
      </c>
      <c r="D395" t="s">
        <v>74</v>
      </c>
      <c r="E395" t="s">
        <v>74</v>
      </c>
      <c r="F395" t="s">
        <v>5482</v>
      </c>
      <c r="G395" t="s">
        <v>74</v>
      </c>
      <c r="H395" t="s">
        <v>74</v>
      </c>
      <c r="I395" t="s">
        <v>5483</v>
      </c>
      <c r="J395" t="s">
        <v>5484</v>
      </c>
      <c r="K395" t="s">
        <v>74</v>
      </c>
      <c r="L395" t="s">
        <v>74</v>
      </c>
      <c r="M395" t="s">
        <v>77</v>
      </c>
      <c r="N395" t="s">
        <v>78</v>
      </c>
      <c r="O395" t="s">
        <v>74</v>
      </c>
      <c r="P395" t="s">
        <v>74</v>
      </c>
      <c r="Q395" t="s">
        <v>74</v>
      </c>
      <c r="R395" t="s">
        <v>74</v>
      </c>
      <c r="S395" t="s">
        <v>74</v>
      </c>
      <c r="T395" t="s">
        <v>5485</v>
      </c>
      <c r="U395" t="s">
        <v>5486</v>
      </c>
      <c r="V395" t="s">
        <v>5487</v>
      </c>
      <c r="W395" t="s">
        <v>5488</v>
      </c>
      <c r="X395" t="s">
        <v>5489</v>
      </c>
      <c r="Y395" t="s">
        <v>5490</v>
      </c>
      <c r="Z395" t="s">
        <v>5491</v>
      </c>
      <c r="AA395" t="s">
        <v>74</v>
      </c>
      <c r="AB395" t="s">
        <v>74</v>
      </c>
      <c r="AC395" t="s">
        <v>74</v>
      </c>
      <c r="AD395" t="s">
        <v>74</v>
      </c>
      <c r="AE395" t="s">
        <v>74</v>
      </c>
      <c r="AF395" t="s">
        <v>74</v>
      </c>
      <c r="AG395">
        <v>68</v>
      </c>
      <c r="AH395">
        <v>23</v>
      </c>
      <c r="AI395">
        <v>28</v>
      </c>
      <c r="AJ395">
        <v>0</v>
      </c>
      <c r="AK395">
        <v>18</v>
      </c>
      <c r="AL395" t="s">
        <v>776</v>
      </c>
      <c r="AM395" t="s">
        <v>777</v>
      </c>
      <c r="AN395" t="s">
        <v>778</v>
      </c>
      <c r="AO395" t="s">
        <v>5492</v>
      </c>
      <c r="AP395" t="s">
        <v>5493</v>
      </c>
      <c r="AQ395" t="s">
        <v>74</v>
      </c>
      <c r="AR395" t="s">
        <v>5494</v>
      </c>
      <c r="AS395" t="s">
        <v>5495</v>
      </c>
      <c r="AT395" t="s">
        <v>5036</v>
      </c>
      <c r="AU395">
        <v>2000</v>
      </c>
      <c r="AV395">
        <v>170</v>
      </c>
      <c r="AW395">
        <v>8</v>
      </c>
      <c r="AX395" t="s">
        <v>74</v>
      </c>
      <c r="AY395" t="s">
        <v>74</v>
      </c>
      <c r="AZ395" t="s">
        <v>74</v>
      </c>
      <c r="BA395" t="s">
        <v>74</v>
      </c>
      <c r="BB395">
        <v>561</v>
      </c>
      <c r="BC395">
        <v>572</v>
      </c>
      <c r="BD395" t="s">
        <v>74</v>
      </c>
      <c r="BE395" t="s">
        <v>5496</v>
      </c>
      <c r="BF395" t="str">
        <f>HYPERLINK("http://dx.doi.org/10.1007/s003600000134","http://dx.doi.org/10.1007/s003600000134")</f>
        <v>http://dx.doi.org/10.1007/s003600000134</v>
      </c>
      <c r="BG395" t="s">
        <v>74</v>
      </c>
      <c r="BH395" t="s">
        <v>74</v>
      </c>
      <c r="BI395">
        <v>12</v>
      </c>
      <c r="BJ395" t="s">
        <v>5497</v>
      </c>
      <c r="BK395" t="s">
        <v>94</v>
      </c>
      <c r="BL395" t="s">
        <v>5497</v>
      </c>
      <c r="BM395" t="s">
        <v>5498</v>
      </c>
      <c r="BN395">
        <v>11192262</v>
      </c>
      <c r="BO395" t="s">
        <v>74</v>
      </c>
      <c r="BP395" t="s">
        <v>74</v>
      </c>
      <c r="BQ395" t="s">
        <v>74</v>
      </c>
      <c r="BR395" t="s">
        <v>97</v>
      </c>
      <c r="BS395" t="s">
        <v>5499</v>
      </c>
      <c r="BT395" t="str">
        <f>HYPERLINK("https%3A%2F%2Fwww.webofscience.com%2Fwos%2Fwoscc%2Ffull-record%2FWOS:000166041000001","View Full Record in Web of Science")</f>
        <v>View Full Record in Web of Science</v>
      </c>
    </row>
    <row r="396" spans="1:72" x14ac:dyDescent="0.15">
      <c r="A396" t="s">
        <v>72</v>
      </c>
      <c r="B396" t="s">
        <v>5500</v>
      </c>
      <c r="C396" t="s">
        <v>74</v>
      </c>
      <c r="D396" t="s">
        <v>74</v>
      </c>
      <c r="E396" t="s">
        <v>74</v>
      </c>
      <c r="F396" t="s">
        <v>5500</v>
      </c>
      <c r="G396" t="s">
        <v>74</v>
      </c>
      <c r="H396" t="s">
        <v>74</v>
      </c>
      <c r="I396" t="s">
        <v>5501</v>
      </c>
      <c r="J396" t="s">
        <v>5502</v>
      </c>
      <c r="K396" t="s">
        <v>74</v>
      </c>
      <c r="L396" t="s">
        <v>74</v>
      </c>
      <c r="M396" t="s">
        <v>77</v>
      </c>
      <c r="N396" t="s">
        <v>78</v>
      </c>
      <c r="O396" t="s">
        <v>74</v>
      </c>
      <c r="P396" t="s">
        <v>74</v>
      </c>
      <c r="Q396" t="s">
        <v>74</v>
      </c>
      <c r="R396" t="s">
        <v>74</v>
      </c>
      <c r="S396" t="s">
        <v>74</v>
      </c>
      <c r="T396" t="s">
        <v>74</v>
      </c>
      <c r="U396" t="s">
        <v>5503</v>
      </c>
      <c r="V396" t="s">
        <v>5504</v>
      </c>
      <c r="W396" t="s">
        <v>5505</v>
      </c>
      <c r="X396" t="s">
        <v>5506</v>
      </c>
      <c r="Y396" t="s">
        <v>5507</v>
      </c>
      <c r="Z396" t="s">
        <v>5508</v>
      </c>
      <c r="AA396" t="s">
        <v>5509</v>
      </c>
      <c r="AB396" t="s">
        <v>5510</v>
      </c>
      <c r="AC396" t="s">
        <v>74</v>
      </c>
      <c r="AD396" t="s">
        <v>74</v>
      </c>
      <c r="AE396" t="s">
        <v>74</v>
      </c>
      <c r="AF396" t="s">
        <v>74</v>
      </c>
      <c r="AG396">
        <v>32</v>
      </c>
      <c r="AH396">
        <v>17</v>
      </c>
      <c r="AI396">
        <v>17</v>
      </c>
      <c r="AJ396">
        <v>0</v>
      </c>
      <c r="AK396">
        <v>11</v>
      </c>
      <c r="AL396" t="s">
        <v>1802</v>
      </c>
      <c r="AM396" t="s">
        <v>109</v>
      </c>
      <c r="AN396" t="s">
        <v>5511</v>
      </c>
      <c r="AO396" t="s">
        <v>5512</v>
      </c>
      <c r="AP396" t="s">
        <v>5513</v>
      </c>
      <c r="AQ396" t="s">
        <v>74</v>
      </c>
      <c r="AR396" t="s">
        <v>5514</v>
      </c>
      <c r="AS396" t="s">
        <v>5515</v>
      </c>
      <c r="AT396" t="s">
        <v>5036</v>
      </c>
      <c r="AU396">
        <v>2000</v>
      </c>
      <c r="AV396">
        <v>2</v>
      </c>
      <c r="AW396">
        <v>6</v>
      </c>
      <c r="AX396" t="s">
        <v>74</v>
      </c>
      <c r="AY396" t="s">
        <v>74</v>
      </c>
      <c r="AZ396" t="s">
        <v>74</v>
      </c>
      <c r="BA396" t="s">
        <v>74</v>
      </c>
      <c r="BB396">
        <v>613</v>
      </c>
      <c r="BC396">
        <v>620</v>
      </c>
      <c r="BD396" t="s">
        <v>74</v>
      </c>
      <c r="BE396" t="s">
        <v>5516</v>
      </c>
      <c r="BF396" t="str">
        <f>HYPERLINK("http://dx.doi.org/10.1039/b005017m","http://dx.doi.org/10.1039/b005017m")</f>
        <v>http://dx.doi.org/10.1039/b005017m</v>
      </c>
      <c r="BG396" t="s">
        <v>74</v>
      </c>
      <c r="BH396" t="s">
        <v>74</v>
      </c>
      <c r="BI396">
        <v>8</v>
      </c>
      <c r="BJ396" t="s">
        <v>1552</v>
      </c>
      <c r="BK396" t="s">
        <v>94</v>
      </c>
      <c r="BL396" t="s">
        <v>1553</v>
      </c>
      <c r="BM396" t="s">
        <v>5517</v>
      </c>
      <c r="BN396">
        <v>11296750</v>
      </c>
      <c r="BO396" t="s">
        <v>74</v>
      </c>
      <c r="BP396" t="s">
        <v>74</v>
      </c>
      <c r="BQ396" t="s">
        <v>74</v>
      </c>
      <c r="BR396" t="s">
        <v>97</v>
      </c>
      <c r="BS396" t="s">
        <v>5518</v>
      </c>
      <c r="BT396" t="str">
        <f>HYPERLINK("https%3A%2F%2Fwww.webofscience.com%2Fwos%2Fwoscc%2Ffull-record%2FWOS:000165993200017","View Full Record in Web of Science")</f>
        <v>View Full Record in Web of Science</v>
      </c>
    </row>
    <row r="397" spans="1:72" x14ac:dyDescent="0.15">
      <c r="A397" t="s">
        <v>72</v>
      </c>
      <c r="B397" t="s">
        <v>5519</v>
      </c>
      <c r="C397" t="s">
        <v>74</v>
      </c>
      <c r="D397" t="s">
        <v>74</v>
      </c>
      <c r="E397" t="s">
        <v>74</v>
      </c>
      <c r="F397" t="s">
        <v>5519</v>
      </c>
      <c r="G397" t="s">
        <v>74</v>
      </c>
      <c r="H397" t="s">
        <v>74</v>
      </c>
      <c r="I397" t="s">
        <v>5520</v>
      </c>
      <c r="J397" t="s">
        <v>5521</v>
      </c>
      <c r="K397" t="s">
        <v>74</v>
      </c>
      <c r="L397" t="s">
        <v>74</v>
      </c>
      <c r="M397" t="s">
        <v>77</v>
      </c>
      <c r="N397" t="s">
        <v>78</v>
      </c>
      <c r="O397" t="s">
        <v>74</v>
      </c>
      <c r="P397" t="s">
        <v>74</v>
      </c>
      <c r="Q397" t="s">
        <v>74</v>
      </c>
      <c r="R397" t="s">
        <v>74</v>
      </c>
      <c r="S397" t="s">
        <v>74</v>
      </c>
      <c r="T397" t="s">
        <v>5522</v>
      </c>
      <c r="U397" t="s">
        <v>5523</v>
      </c>
      <c r="V397" t="s">
        <v>5524</v>
      </c>
      <c r="W397" t="s">
        <v>5525</v>
      </c>
      <c r="X397" t="s">
        <v>5526</v>
      </c>
      <c r="Y397" t="s">
        <v>5527</v>
      </c>
      <c r="Z397" t="s">
        <v>74</v>
      </c>
      <c r="AA397" t="s">
        <v>5528</v>
      </c>
      <c r="AB397" t="s">
        <v>5529</v>
      </c>
      <c r="AC397" t="s">
        <v>74</v>
      </c>
      <c r="AD397" t="s">
        <v>74</v>
      </c>
      <c r="AE397" t="s">
        <v>74</v>
      </c>
      <c r="AF397" t="s">
        <v>74</v>
      </c>
      <c r="AG397">
        <v>41</v>
      </c>
      <c r="AH397">
        <v>103</v>
      </c>
      <c r="AI397">
        <v>120</v>
      </c>
      <c r="AJ397">
        <v>0</v>
      </c>
      <c r="AK397">
        <v>30</v>
      </c>
      <c r="AL397" t="s">
        <v>5530</v>
      </c>
      <c r="AM397" t="s">
        <v>109</v>
      </c>
      <c r="AN397" t="s">
        <v>5531</v>
      </c>
      <c r="AO397" t="s">
        <v>5532</v>
      </c>
      <c r="AP397" t="s">
        <v>74</v>
      </c>
      <c r="AQ397" t="s">
        <v>74</v>
      </c>
      <c r="AR397" t="s">
        <v>5533</v>
      </c>
      <c r="AS397" t="s">
        <v>5534</v>
      </c>
      <c r="AT397" t="s">
        <v>5036</v>
      </c>
      <c r="AU397">
        <v>2000</v>
      </c>
      <c r="AV397">
        <v>203</v>
      </c>
      <c r="AW397">
        <v>23</v>
      </c>
      <c r="AX397" t="s">
        <v>74</v>
      </c>
      <c r="AY397" t="s">
        <v>74</v>
      </c>
      <c r="AZ397" t="s">
        <v>74</v>
      </c>
      <c r="BA397" t="s">
        <v>74</v>
      </c>
      <c r="BB397">
        <v>3655</v>
      </c>
      <c r="BC397">
        <v>3665</v>
      </c>
      <c r="BD397" t="s">
        <v>74</v>
      </c>
      <c r="BE397" t="s">
        <v>74</v>
      </c>
      <c r="BF397" t="s">
        <v>74</v>
      </c>
      <c r="BG397" t="s">
        <v>74</v>
      </c>
      <c r="BH397" t="s">
        <v>74</v>
      </c>
      <c r="BI397">
        <v>11</v>
      </c>
      <c r="BJ397" t="s">
        <v>3757</v>
      </c>
      <c r="BK397" t="s">
        <v>94</v>
      </c>
      <c r="BL397" t="s">
        <v>3758</v>
      </c>
      <c r="BM397" t="s">
        <v>5535</v>
      </c>
      <c r="BN397">
        <v>11060226</v>
      </c>
      <c r="BO397" t="s">
        <v>74</v>
      </c>
      <c r="BP397" t="s">
        <v>74</v>
      </c>
      <c r="BQ397" t="s">
        <v>74</v>
      </c>
      <c r="BR397" t="s">
        <v>97</v>
      </c>
      <c r="BS397" t="s">
        <v>5536</v>
      </c>
      <c r="BT397" t="str">
        <f>HYPERLINK("https%3A%2F%2Fwww.webofscience.com%2Fwos%2Fwoscc%2Ffull-record%2FWOS:000165956000014","View Full Record in Web of Science")</f>
        <v>View Full Record in Web of Science</v>
      </c>
    </row>
    <row r="398" spans="1:72" x14ac:dyDescent="0.15">
      <c r="A398" t="s">
        <v>72</v>
      </c>
      <c r="B398" t="s">
        <v>5537</v>
      </c>
      <c r="C398" t="s">
        <v>74</v>
      </c>
      <c r="D398" t="s">
        <v>74</v>
      </c>
      <c r="E398" t="s">
        <v>74</v>
      </c>
      <c r="F398" t="s">
        <v>5537</v>
      </c>
      <c r="G398" t="s">
        <v>74</v>
      </c>
      <c r="H398" t="s">
        <v>74</v>
      </c>
      <c r="I398" t="s">
        <v>5538</v>
      </c>
      <c r="J398" t="s">
        <v>5539</v>
      </c>
      <c r="K398" t="s">
        <v>74</v>
      </c>
      <c r="L398" t="s">
        <v>74</v>
      </c>
      <c r="M398" t="s">
        <v>77</v>
      </c>
      <c r="N398" t="s">
        <v>78</v>
      </c>
      <c r="O398" t="s">
        <v>74</v>
      </c>
      <c r="P398" t="s">
        <v>74</v>
      </c>
      <c r="Q398" t="s">
        <v>74</v>
      </c>
      <c r="R398" t="s">
        <v>74</v>
      </c>
      <c r="S398" t="s">
        <v>74</v>
      </c>
      <c r="T398" t="s">
        <v>5540</v>
      </c>
      <c r="U398" t="s">
        <v>5541</v>
      </c>
      <c r="V398" t="s">
        <v>5542</v>
      </c>
      <c r="W398" t="s">
        <v>5543</v>
      </c>
      <c r="X398" t="s">
        <v>5544</v>
      </c>
      <c r="Y398" t="s">
        <v>5545</v>
      </c>
      <c r="Z398" t="s">
        <v>74</v>
      </c>
      <c r="AA398" t="s">
        <v>5546</v>
      </c>
      <c r="AB398" t="s">
        <v>5547</v>
      </c>
      <c r="AC398" t="s">
        <v>74</v>
      </c>
      <c r="AD398" t="s">
        <v>74</v>
      </c>
      <c r="AE398" t="s">
        <v>74</v>
      </c>
      <c r="AF398" t="s">
        <v>74</v>
      </c>
      <c r="AG398">
        <v>56</v>
      </c>
      <c r="AH398">
        <v>87</v>
      </c>
      <c r="AI398">
        <v>101</v>
      </c>
      <c r="AJ398">
        <v>2</v>
      </c>
      <c r="AK398">
        <v>32</v>
      </c>
      <c r="AL398" t="s">
        <v>1120</v>
      </c>
      <c r="AM398" t="s">
        <v>1121</v>
      </c>
      <c r="AN398" t="s">
        <v>2394</v>
      </c>
      <c r="AO398" t="s">
        <v>5548</v>
      </c>
      <c r="AP398" t="s">
        <v>74</v>
      </c>
      <c r="AQ398" t="s">
        <v>74</v>
      </c>
      <c r="AR398" t="s">
        <v>5549</v>
      </c>
      <c r="AS398" t="s">
        <v>5550</v>
      </c>
      <c r="AT398" t="s">
        <v>5360</v>
      </c>
      <c r="AU398">
        <v>2000</v>
      </c>
      <c r="AV398">
        <v>255</v>
      </c>
      <c r="AW398">
        <v>1</v>
      </c>
      <c r="AX398" t="s">
        <v>74</v>
      </c>
      <c r="AY398" t="s">
        <v>74</v>
      </c>
      <c r="AZ398" t="s">
        <v>74</v>
      </c>
      <c r="BA398" t="s">
        <v>74</v>
      </c>
      <c r="BB398">
        <v>93</v>
      </c>
      <c r="BC398">
        <v>110</v>
      </c>
      <c r="BD398" t="s">
        <v>74</v>
      </c>
      <c r="BE398" t="s">
        <v>5551</v>
      </c>
      <c r="BF398" t="str">
        <f>HYPERLINK("http://dx.doi.org/10.1016/S0022-0981(00)00293-8","http://dx.doi.org/10.1016/S0022-0981(00)00293-8")</f>
        <v>http://dx.doi.org/10.1016/S0022-0981(00)00293-8</v>
      </c>
      <c r="BG398" t="s">
        <v>74</v>
      </c>
      <c r="BH398" t="s">
        <v>74</v>
      </c>
      <c r="BI398">
        <v>18</v>
      </c>
      <c r="BJ398" t="s">
        <v>618</v>
      </c>
      <c r="BK398" t="s">
        <v>94</v>
      </c>
      <c r="BL398" t="s">
        <v>619</v>
      </c>
      <c r="BM398" t="s">
        <v>5552</v>
      </c>
      <c r="BN398">
        <v>11090854</v>
      </c>
      <c r="BO398" t="s">
        <v>74</v>
      </c>
      <c r="BP398" t="s">
        <v>74</v>
      </c>
      <c r="BQ398" t="s">
        <v>74</v>
      </c>
      <c r="BR398" t="s">
        <v>97</v>
      </c>
      <c r="BS398" t="s">
        <v>5553</v>
      </c>
      <c r="BT398" t="str">
        <f>HYPERLINK("https%3A%2F%2Fwww.webofscience.com%2Fwos%2Fwoscc%2Ffull-record%2FWOS:000165640200006","View Full Record in Web of Science")</f>
        <v>View Full Record in Web of Science</v>
      </c>
    </row>
    <row r="399" spans="1:72" x14ac:dyDescent="0.15">
      <c r="A399" t="s">
        <v>72</v>
      </c>
      <c r="B399" t="s">
        <v>5554</v>
      </c>
      <c r="C399" t="s">
        <v>74</v>
      </c>
      <c r="D399" t="s">
        <v>74</v>
      </c>
      <c r="E399" t="s">
        <v>74</v>
      </c>
      <c r="F399" t="s">
        <v>5554</v>
      </c>
      <c r="G399" t="s">
        <v>74</v>
      </c>
      <c r="H399" t="s">
        <v>74</v>
      </c>
      <c r="I399" t="s">
        <v>5555</v>
      </c>
      <c r="J399" t="s">
        <v>5556</v>
      </c>
      <c r="K399" t="s">
        <v>74</v>
      </c>
      <c r="L399" t="s">
        <v>74</v>
      </c>
      <c r="M399" t="s">
        <v>77</v>
      </c>
      <c r="N399" t="s">
        <v>576</v>
      </c>
      <c r="O399" t="s">
        <v>5557</v>
      </c>
      <c r="P399" t="s">
        <v>5558</v>
      </c>
      <c r="Q399" t="s">
        <v>5559</v>
      </c>
      <c r="R399" t="s">
        <v>74</v>
      </c>
      <c r="S399" t="s">
        <v>5560</v>
      </c>
      <c r="T399" t="s">
        <v>5561</v>
      </c>
      <c r="U399" t="s">
        <v>5562</v>
      </c>
      <c r="V399" t="s">
        <v>5563</v>
      </c>
      <c r="W399" t="s">
        <v>5564</v>
      </c>
      <c r="X399" t="s">
        <v>5565</v>
      </c>
      <c r="Y399" t="s">
        <v>5566</v>
      </c>
      <c r="Z399" t="s">
        <v>74</v>
      </c>
      <c r="AA399" t="s">
        <v>74</v>
      </c>
      <c r="AB399" t="s">
        <v>5567</v>
      </c>
      <c r="AC399" t="s">
        <v>74</v>
      </c>
      <c r="AD399" t="s">
        <v>74</v>
      </c>
      <c r="AE399" t="s">
        <v>74</v>
      </c>
      <c r="AF399" t="s">
        <v>74</v>
      </c>
      <c r="AG399">
        <v>38</v>
      </c>
      <c r="AH399">
        <v>22</v>
      </c>
      <c r="AI399">
        <v>25</v>
      </c>
      <c r="AJ399">
        <v>0</v>
      </c>
      <c r="AK399">
        <v>11</v>
      </c>
      <c r="AL399" t="s">
        <v>5568</v>
      </c>
      <c r="AM399" t="s">
        <v>1208</v>
      </c>
      <c r="AN399" t="s">
        <v>1900</v>
      </c>
      <c r="AO399" t="s">
        <v>5569</v>
      </c>
      <c r="AP399" t="s">
        <v>74</v>
      </c>
      <c r="AQ399" t="s">
        <v>74</v>
      </c>
      <c r="AR399" t="s">
        <v>5570</v>
      </c>
      <c r="AS399" t="s">
        <v>5571</v>
      </c>
      <c r="AT399" t="s">
        <v>5036</v>
      </c>
      <c r="AU399">
        <v>2000</v>
      </c>
      <c r="AV399">
        <v>57</v>
      </c>
      <c r="AW399" t="s">
        <v>74</v>
      </c>
      <c r="AX399" t="s">
        <v>74</v>
      </c>
      <c r="AY399" t="s">
        <v>2682</v>
      </c>
      <c r="AZ399" t="s">
        <v>74</v>
      </c>
      <c r="BA399" t="s">
        <v>74</v>
      </c>
      <c r="BB399">
        <v>20</v>
      </c>
      <c r="BC399">
        <v>32</v>
      </c>
      <c r="BD399" t="s">
        <v>74</v>
      </c>
      <c r="BE399" t="s">
        <v>5572</v>
      </c>
      <c r="BF399" t="str">
        <f>HYPERLINK("http://dx.doi.org/10.1006/jfbi.2000.1611","http://dx.doi.org/10.1006/jfbi.2000.1611")</f>
        <v>http://dx.doi.org/10.1006/jfbi.2000.1611</v>
      </c>
      <c r="BG399" t="s">
        <v>74</v>
      </c>
      <c r="BH399" t="s">
        <v>74</v>
      </c>
      <c r="BI399">
        <v>13</v>
      </c>
      <c r="BJ399" t="s">
        <v>4308</v>
      </c>
      <c r="BK399" t="s">
        <v>596</v>
      </c>
      <c r="BL399" t="s">
        <v>4308</v>
      </c>
      <c r="BM399" t="s">
        <v>5573</v>
      </c>
      <c r="BN399" t="s">
        <v>74</v>
      </c>
      <c r="BO399" t="s">
        <v>74</v>
      </c>
      <c r="BP399" t="s">
        <v>74</v>
      </c>
      <c r="BQ399" t="s">
        <v>74</v>
      </c>
      <c r="BR399" t="s">
        <v>97</v>
      </c>
      <c r="BS399" t="s">
        <v>5574</v>
      </c>
      <c r="BT399" t="str">
        <f>HYPERLINK("https%3A%2F%2Fwww.webofscience.com%2Fwos%2Fwoscc%2Ffull-record%2FWOS:000165837200003","View Full Record in Web of Science")</f>
        <v>View Full Record in Web of Science</v>
      </c>
    </row>
    <row r="400" spans="1:72" x14ac:dyDescent="0.15">
      <c r="A400" t="s">
        <v>72</v>
      </c>
      <c r="B400" t="s">
        <v>5575</v>
      </c>
      <c r="C400" t="s">
        <v>74</v>
      </c>
      <c r="D400" t="s">
        <v>74</v>
      </c>
      <c r="E400" t="s">
        <v>74</v>
      </c>
      <c r="F400" t="s">
        <v>5575</v>
      </c>
      <c r="G400" t="s">
        <v>74</v>
      </c>
      <c r="H400" t="s">
        <v>74</v>
      </c>
      <c r="I400" t="s">
        <v>5576</v>
      </c>
      <c r="J400" t="s">
        <v>5556</v>
      </c>
      <c r="K400" t="s">
        <v>74</v>
      </c>
      <c r="L400" t="s">
        <v>74</v>
      </c>
      <c r="M400" t="s">
        <v>77</v>
      </c>
      <c r="N400" t="s">
        <v>576</v>
      </c>
      <c r="O400" t="s">
        <v>5557</v>
      </c>
      <c r="P400" t="s">
        <v>5558</v>
      </c>
      <c r="Q400" t="s">
        <v>5559</v>
      </c>
      <c r="R400" t="s">
        <v>74</v>
      </c>
      <c r="S400" t="s">
        <v>5560</v>
      </c>
      <c r="T400" t="s">
        <v>5577</v>
      </c>
      <c r="U400" t="s">
        <v>5578</v>
      </c>
      <c r="V400" t="s">
        <v>5579</v>
      </c>
      <c r="W400" t="s">
        <v>5580</v>
      </c>
      <c r="X400" t="s">
        <v>5581</v>
      </c>
      <c r="Y400" t="s">
        <v>5582</v>
      </c>
      <c r="Z400" t="s">
        <v>74</v>
      </c>
      <c r="AA400" t="s">
        <v>5583</v>
      </c>
      <c r="AB400" t="s">
        <v>5584</v>
      </c>
      <c r="AC400" t="s">
        <v>74</v>
      </c>
      <c r="AD400" t="s">
        <v>74</v>
      </c>
      <c r="AE400" t="s">
        <v>74</v>
      </c>
      <c r="AF400" t="s">
        <v>74</v>
      </c>
      <c r="AG400">
        <v>52</v>
      </c>
      <c r="AH400">
        <v>15</v>
      </c>
      <c r="AI400">
        <v>16</v>
      </c>
      <c r="AJ400">
        <v>0</v>
      </c>
      <c r="AK400">
        <v>6</v>
      </c>
      <c r="AL400" t="s">
        <v>5568</v>
      </c>
      <c r="AM400" t="s">
        <v>1208</v>
      </c>
      <c r="AN400" t="s">
        <v>1900</v>
      </c>
      <c r="AO400" t="s">
        <v>5569</v>
      </c>
      <c r="AP400" t="s">
        <v>74</v>
      </c>
      <c r="AQ400" t="s">
        <v>74</v>
      </c>
      <c r="AR400" t="s">
        <v>5570</v>
      </c>
      <c r="AS400" t="s">
        <v>5571</v>
      </c>
      <c r="AT400" t="s">
        <v>5036</v>
      </c>
      <c r="AU400">
        <v>2000</v>
      </c>
      <c r="AV400">
        <v>57</v>
      </c>
      <c r="AW400" t="s">
        <v>74</v>
      </c>
      <c r="AX400" t="s">
        <v>74</v>
      </c>
      <c r="AY400" t="s">
        <v>2682</v>
      </c>
      <c r="AZ400" t="s">
        <v>74</v>
      </c>
      <c r="BA400" t="s">
        <v>74</v>
      </c>
      <c r="BB400">
        <v>33</v>
      </c>
      <c r="BC400">
        <v>50</v>
      </c>
      <c r="BD400" t="s">
        <v>74</v>
      </c>
      <c r="BE400" t="s">
        <v>74</v>
      </c>
      <c r="BF400" t="s">
        <v>74</v>
      </c>
      <c r="BG400" t="s">
        <v>74</v>
      </c>
      <c r="BH400" t="s">
        <v>74</v>
      </c>
      <c r="BI400">
        <v>18</v>
      </c>
      <c r="BJ400" t="s">
        <v>4308</v>
      </c>
      <c r="BK400" t="s">
        <v>596</v>
      </c>
      <c r="BL400" t="s">
        <v>4308</v>
      </c>
      <c r="BM400" t="s">
        <v>5573</v>
      </c>
      <c r="BN400" t="s">
        <v>74</v>
      </c>
      <c r="BO400" t="s">
        <v>74</v>
      </c>
      <c r="BP400" t="s">
        <v>74</v>
      </c>
      <c r="BQ400" t="s">
        <v>74</v>
      </c>
      <c r="BR400" t="s">
        <v>97</v>
      </c>
      <c r="BS400" t="s">
        <v>5585</v>
      </c>
      <c r="BT400" t="str">
        <f>HYPERLINK("https%3A%2F%2Fwww.webofscience.com%2Fwos%2Fwoscc%2Ffull-record%2FWOS:000165837200004","View Full Record in Web of Science")</f>
        <v>View Full Record in Web of Science</v>
      </c>
    </row>
    <row r="401" spans="1:72" x14ac:dyDescent="0.15">
      <c r="A401" t="s">
        <v>72</v>
      </c>
      <c r="B401" t="s">
        <v>5586</v>
      </c>
      <c r="C401" t="s">
        <v>74</v>
      </c>
      <c r="D401" t="s">
        <v>74</v>
      </c>
      <c r="E401" t="s">
        <v>74</v>
      </c>
      <c r="F401" t="s">
        <v>5586</v>
      </c>
      <c r="G401" t="s">
        <v>74</v>
      </c>
      <c r="H401" t="s">
        <v>74</v>
      </c>
      <c r="I401" t="s">
        <v>5587</v>
      </c>
      <c r="J401" t="s">
        <v>5556</v>
      </c>
      <c r="K401" t="s">
        <v>74</v>
      </c>
      <c r="L401" t="s">
        <v>74</v>
      </c>
      <c r="M401" t="s">
        <v>77</v>
      </c>
      <c r="N401" t="s">
        <v>576</v>
      </c>
      <c r="O401" t="s">
        <v>5557</v>
      </c>
      <c r="P401" t="s">
        <v>5558</v>
      </c>
      <c r="Q401" t="s">
        <v>5559</v>
      </c>
      <c r="R401" t="s">
        <v>74</v>
      </c>
      <c r="S401" t="s">
        <v>5560</v>
      </c>
      <c r="T401" t="s">
        <v>5588</v>
      </c>
      <c r="U401" t="s">
        <v>5589</v>
      </c>
      <c r="V401" t="s">
        <v>5590</v>
      </c>
      <c r="W401" t="s">
        <v>5591</v>
      </c>
      <c r="X401" t="s">
        <v>5592</v>
      </c>
      <c r="Y401" t="s">
        <v>5593</v>
      </c>
      <c r="Z401" t="s">
        <v>74</v>
      </c>
      <c r="AA401" t="s">
        <v>5594</v>
      </c>
      <c r="AB401" t="s">
        <v>5595</v>
      </c>
      <c r="AC401" t="s">
        <v>74</v>
      </c>
      <c r="AD401" t="s">
        <v>74</v>
      </c>
      <c r="AE401" t="s">
        <v>74</v>
      </c>
      <c r="AF401" t="s">
        <v>74</v>
      </c>
      <c r="AG401">
        <v>100</v>
      </c>
      <c r="AH401">
        <v>142</v>
      </c>
      <c r="AI401">
        <v>156</v>
      </c>
      <c r="AJ401">
        <v>0</v>
      </c>
      <c r="AK401">
        <v>26</v>
      </c>
      <c r="AL401" t="s">
        <v>5568</v>
      </c>
      <c r="AM401" t="s">
        <v>1208</v>
      </c>
      <c r="AN401" t="s">
        <v>1900</v>
      </c>
      <c r="AO401" t="s">
        <v>5569</v>
      </c>
      <c r="AP401" t="s">
        <v>74</v>
      </c>
      <c r="AQ401" t="s">
        <v>74</v>
      </c>
      <c r="AR401" t="s">
        <v>5570</v>
      </c>
      <c r="AS401" t="s">
        <v>5571</v>
      </c>
      <c r="AT401" t="s">
        <v>5036</v>
      </c>
      <c r="AU401">
        <v>2000</v>
      </c>
      <c r="AV401">
        <v>57</v>
      </c>
      <c r="AW401" t="s">
        <v>74</v>
      </c>
      <c r="AX401" t="s">
        <v>74</v>
      </c>
      <c r="AY401" t="s">
        <v>2682</v>
      </c>
      <c r="AZ401" t="s">
        <v>74</v>
      </c>
      <c r="BA401" t="s">
        <v>74</v>
      </c>
      <c r="BB401">
        <v>84</v>
      </c>
      <c r="BC401">
        <v>102</v>
      </c>
      <c r="BD401" t="s">
        <v>74</v>
      </c>
      <c r="BE401" t="s">
        <v>5596</v>
      </c>
      <c r="BF401" t="str">
        <f>HYPERLINK("http://dx.doi.org/10.1111/j.1095-8649.2000.tb02246.x","http://dx.doi.org/10.1111/j.1095-8649.2000.tb02246.x")</f>
        <v>http://dx.doi.org/10.1111/j.1095-8649.2000.tb02246.x</v>
      </c>
      <c r="BG401" t="s">
        <v>74</v>
      </c>
      <c r="BH401" t="s">
        <v>74</v>
      </c>
      <c r="BI401">
        <v>19</v>
      </c>
      <c r="BJ401" t="s">
        <v>4308</v>
      </c>
      <c r="BK401" t="s">
        <v>596</v>
      </c>
      <c r="BL401" t="s">
        <v>4308</v>
      </c>
      <c r="BM401" t="s">
        <v>5573</v>
      </c>
      <c r="BN401" t="s">
        <v>74</v>
      </c>
      <c r="BO401" t="s">
        <v>74</v>
      </c>
      <c r="BP401" t="s">
        <v>74</v>
      </c>
      <c r="BQ401" t="s">
        <v>74</v>
      </c>
      <c r="BR401" t="s">
        <v>97</v>
      </c>
      <c r="BS401" t="s">
        <v>5597</v>
      </c>
      <c r="BT401" t="str">
        <f>HYPERLINK("https%3A%2F%2Fwww.webofscience.com%2Fwos%2Fwoscc%2Ffull-record%2FWOS:000165837200007","View Full Record in Web of Science")</f>
        <v>View Full Record in Web of Science</v>
      </c>
    </row>
    <row r="402" spans="1:72" x14ac:dyDescent="0.15">
      <c r="A402" t="s">
        <v>72</v>
      </c>
      <c r="B402" t="s">
        <v>5598</v>
      </c>
      <c r="C402" t="s">
        <v>74</v>
      </c>
      <c r="D402" t="s">
        <v>74</v>
      </c>
      <c r="E402" t="s">
        <v>74</v>
      </c>
      <c r="F402" t="s">
        <v>5598</v>
      </c>
      <c r="G402" t="s">
        <v>74</v>
      </c>
      <c r="H402" t="s">
        <v>74</v>
      </c>
      <c r="I402" t="s">
        <v>5599</v>
      </c>
      <c r="J402" t="s">
        <v>5556</v>
      </c>
      <c r="K402" t="s">
        <v>74</v>
      </c>
      <c r="L402" t="s">
        <v>74</v>
      </c>
      <c r="M402" t="s">
        <v>77</v>
      </c>
      <c r="N402" t="s">
        <v>576</v>
      </c>
      <c r="O402" t="s">
        <v>5557</v>
      </c>
      <c r="P402" t="s">
        <v>5558</v>
      </c>
      <c r="Q402" t="s">
        <v>5559</v>
      </c>
      <c r="R402" t="s">
        <v>74</v>
      </c>
      <c r="S402" t="s">
        <v>5560</v>
      </c>
      <c r="T402" t="s">
        <v>5600</v>
      </c>
      <c r="U402" t="s">
        <v>5601</v>
      </c>
      <c r="V402" t="s">
        <v>5602</v>
      </c>
      <c r="W402" t="s">
        <v>5603</v>
      </c>
      <c r="X402" t="s">
        <v>5604</v>
      </c>
      <c r="Y402" t="s">
        <v>5605</v>
      </c>
      <c r="Z402" t="s">
        <v>5606</v>
      </c>
      <c r="AA402" t="s">
        <v>74</v>
      </c>
      <c r="AB402" t="s">
        <v>74</v>
      </c>
      <c r="AC402" t="s">
        <v>74</v>
      </c>
      <c r="AD402" t="s">
        <v>74</v>
      </c>
      <c r="AE402" t="s">
        <v>74</v>
      </c>
      <c r="AF402" t="s">
        <v>74</v>
      </c>
      <c r="AG402">
        <v>36</v>
      </c>
      <c r="AH402">
        <v>12</v>
      </c>
      <c r="AI402">
        <v>12</v>
      </c>
      <c r="AJ402">
        <v>0</v>
      </c>
      <c r="AK402">
        <v>6</v>
      </c>
      <c r="AL402" t="s">
        <v>3292</v>
      </c>
      <c r="AM402" t="s">
        <v>814</v>
      </c>
      <c r="AN402" t="s">
        <v>815</v>
      </c>
      <c r="AO402" t="s">
        <v>5569</v>
      </c>
      <c r="AP402" t="s">
        <v>74</v>
      </c>
      <c r="AQ402" t="s">
        <v>74</v>
      </c>
      <c r="AR402" t="s">
        <v>5570</v>
      </c>
      <c r="AS402" t="s">
        <v>5571</v>
      </c>
      <c r="AT402" t="s">
        <v>5036</v>
      </c>
      <c r="AU402">
        <v>2000</v>
      </c>
      <c r="AV402">
        <v>57</v>
      </c>
      <c r="AW402" t="s">
        <v>74</v>
      </c>
      <c r="AX402" t="s">
        <v>74</v>
      </c>
      <c r="AY402" t="s">
        <v>2682</v>
      </c>
      <c r="AZ402" t="s">
        <v>74</v>
      </c>
      <c r="BA402" t="s">
        <v>74</v>
      </c>
      <c r="BB402">
        <v>103</v>
      </c>
      <c r="BC402">
        <v>111</v>
      </c>
      <c r="BD402" t="s">
        <v>74</v>
      </c>
      <c r="BE402" t="s">
        <v>5607</v>
      </c>
      <c r="BF402" t="str">
        <f>HYPERLINK("http://dx.doi.org/10.1006/jfbi.2000.1601","http://dx.doi.org/10.1006/jfbi.2000.1601")</f>
        <v>http://dx.doi.org/10.1006/jfbi.2000.1601</v>
      </c>
      <c r="BG402" t="s">
        <v>74</v>
      </c>
      <c r="BH402" t="s">
        <v>74</v>
      </c>
      <c r="BI402">
        <v>9</v>
      </c>
      <c r="BJ402" t="s">
        <v>4308</v>
      </c>
      <c r="BK402" t="s">
        <v>2763</v>
      </c>
      <c r="BL402" t="s">
        <v>4308</v>
      </c>
      <c r="BM402" t="s">
        <v>5573</v>
      </c>
      <c r="BN402" t="s">
        <v>74</v>
      </c>
      <c r="BO402" t="s">
        <v>74</v>
      </c>
      <c r="BP402" t="s">
        <v>74</v>
      </c>
      <c r="BQ402" t="s">
        <v>74</v>
      </c>
      <c r="BR402" t="s">
        <v>97</v>
      </c>
      <c r="BS402" t="s">
        <v>5608</v>
      </c>
      <c r="BT402" t="str">
        <f>HYPERLINK("https%3A%2F%2Fwww.webofscience.com%2Fwos%2Fwoscc%2Ffull-record%2FWOS:000165837200008","View Full Record in Web of Science")</f>
        <v>View Full Record in Web of Science</v>
      </c>
    </row>
    <row r="403" spans="1:72" x14ac:dyDescent="0.15">
      <c r="A403" t="s">
        <v>72</v>
      </c>
      <c r="B403" t="s">
        <v>5609</v>
      </c>
      <c r="C403" t="s">
        <v>74</v>
      </c>
      <c r="D403" t="s">
        <v>74</v>
      </c>
      <c r="E403" t="s">
        <v>74</v>
      </c>
      <c r="F403" t="s">
        <v>5609</v>
      </c>
      <c r="G403" t="s">
        <v>74</v>
      </c>
      <c r="H403" t="s">
        <v>74</v>
      </c>
      <c r="I403" t="s">
        <v>5610</v>
      </c>
      <c r="J403" t="s">
        <v>5556</v>
      </c>
      <c r="K403" t="s">
        <v>74</v>
      </c>
      <c r="L403" t="s">
        <v>74</v>
      </c>
      <c r="M403" t="s">
        <v>77</v>
      </c>
      <c r="N403" t="s">
        <v>576</v>
      </c>
      <c r="O403" t="s">
        <v>5557</v>
      </c>
      <c r="P403" t="s">
        <v>5558</v>
      </c>
      <c r="Q403" t="s">
        <v>5559</v>
      </c>
      <c r="R403" t="s">
        <v>74</v>
      </c>
      <c r="S403" t="s">
        <v>5560</v>
      </c>
      <c r="T403" t="s">
        <v>5611</v>
      </c>
      <c r="U403" t="s">
        <v>5612</v>
      </c>
      <c r="V403" t="s">
        <v>5613</v>
      </c>
      <c r="W403" t="s">
        <v>5614</v>
      </c>
      <c r="X403" t="s">
        <v>5615</v>
      </c>
      <c r="Y403" t="s">
        <v>5616</v>
      </c>
      <c r="Z403" t="s">
        <v>74</v>
      </c>
      <c r="AA403" t="s">
        <v>74</v>
      </c>
      <c r="AB403" t="s">
        <v>74</v>
      </c>
      <c r="AC403" t="s">
        <v>74</v>
      </c>
      <c r="AD403" t="s">
        <v>74</v>
      </c>
      <c r="AE403" t="s">
        <v>74</v>
      </c>
      <c r="AF403" t="s">
        <v>74</v>
      </c>
      <c r="AG403">
        <v>22</v>
      </c>
      <c r="AH403">
        <v>1</v>
      </c>
      <c r="AI403">
        <v>1</v>
      </c>
      <c r="AJ403">
        <v>0</v>
      </c>
      <c r="AK403">
        <v>1</v>
      </c>
      <c r="AL403" t="s">
        <v>5568</v>
      </c>
      <c r="AM403" t="s">
        <v>1208</v>
      </c>
      <c r="AN403" t="s">
        <v>1900</v>
      </c>
      <c r="AO403" t="s">
        <v>5569</v>
      </c>
      <c r="AP403" t="s">
        <v>74</v>
      </c>
      <c r="AQ403" t="s">
        <v>74</v>
      </c>
      <c r="AR403" t="s">
        <v>5570</v>
      </c>
      <c r="AS403" t="s">
        <v>5571</v>
      </c>
      <c r="AT403" t="s">
        <v>5036</v>
      </c>
      <c r="AU403">
        <v>2000</v>
      </c>
      <c r="AV403">
        <v>57</v>
      </c>
      <c r="AW403" t="s">
        <v>74</v>
      </c>
      <c r="AX403" t="s">
        <v>74</v>
      </c>
      <c r="AY403" t="s">
        <v>2682</v>
      </c>
      <c r="AZ403" t="s">
        <v>74</v>
      </c>
      <c r="BA403" t="s">
        <v>74</v>
      </c>
      <c r="BB403">
        <v>112</v>
      </c>
      <c r="BC403">
        <v>120</v>
      </c>
      <c r="BD403" t="s">
        <v>74</v>
      </c>
      <c r="BE403" t="s">
        <v>74</v>
      </c>
      <c r="BF403" t="s">
        <v>74</v>
      </c>
      <c r="BG403" t="s">
        <v>74</v>
      </c>
      <c r="BH403" t="s">
        <v>74</v>
      </c>
      <c r="BI403">
        <v>9</v>
      </c>
      <c r="BJ403" t="s">
        <v>4308</v>
      </c>
      <c r="BK403" t="s">
        <v>596</v>
      </c>
      <c r="BL403" t="s">
        <v>4308</v>
      </c>
      <c r="BM403" t="s">
        <v>5573</v>
      </c>
      <c r="BN403" t="s">
        <v>74</v>
      </c>
      <c r="BO403" t="s">
        <v>74</v>
      </c>
      <c r="BP403" t="s">
        <v>74</v>
      </c>
      <c r="BQ403" t="s">
        <v>74</v>
      </c>
      <c r="BR403" t="s">
        <v>97</v>
      </c>
      <c r="BS403" t="s">
        <v>5617</v>
      </c>
      <c r="BT403" t="str">
        <f>HYPERLINK("https%3A%2F%2Fwww.webofscience.com%2Fwos%2Fwoscc%2Ffull-record%2FWOS:000165837200009","View Full Record in Web of Science")</f>
        <v>View Full Record in Web of Science</v>
      </c>
    </row>
    <row r="404" spans="1:72" x14ac:dyDescent="0.15">
      <c r="A404" t="s">
        <v>72</v>
      </c>
      <c r="B404" t="s">
        <v>5618</v>
      </c>
      <c r="C404" t="s">
        <v>74</v>
      </c>
      <c r="D404" t="s">
        <v>74</v>
      </c>
      <c r="E404" t="s">
        <v>74</v>
      </c>
      <c r="F404" t="s">
        <v>5618</v>
      </c>
      <c r="G404" t="s">
        <v>74</v>
      </c>
      <c r="H404" t="s">
        <v>74</v>
      </c>
      <c r="I404" t="s">
        <v>5619</v>
      </c>
      <c r="J404" t="s">
        <v>5556</v>
      </c>
      <c r="K404" t="s">
        <v>74</v>
      </c>
      <c r="L404" t="s">
        <v>74</v>
      </c>
      <c r="M404" t="s">
        <v>77</v>
      </c>
      <c r="N404" t="s">
        <v>576</v>
      </c>
      <c r="O404" t="s">
        <v>5557</v>
      </c>
      <c r="P404" t="s">
        <v>5558</v>
      </c>
      <c r="Q404" t="s">
        <v>5559</v>
      </c>
      <c r="R404" t="s">
        <v>74</v>
      </c>
      <c r="S404" t="s">
        <v>5560</v>
      </c>
      <c r="T404" t="s">
        <v>5620</v>
      </c>
      <c r="U404" t="s">
        <v>5621</v>
      </c>
      <c r="V404" t="s">
        <v>5622</v>
      </c>
      <c r="W404" t="s">
        <v>5623</v>
      </c>
      <c r="X404" t="s">
        <v>5624</v>
      </c>
      <c r="Y404" t="s">
        <v>5625</v>
      </c>
      <c r="Z404" t="s">
        <v>5626</v>
      </c>
      <c r="AA404" t="s">
        <v>5627</v>
      </c>
      <c r="AB404" t="s">
        <v>5628</v>
      </c>
      <c r="AC404" t="s">
        <v>74</v>
      </c>
      <c r="AD404" t="s">
        <v>74</v>
      </c>
      <c r="AE404" t="s">
        <v>74</v>
      </c>
      <c r="AF404" t="s">
        <v>74</v>
      </c>
      <c r="AG404">
        <v>45</v>
      </c>
      <c r="AH404">
        <v>16</v>
      </c>
      <c r="AI404">
        <v>17</v>
      </c>
      <c r="AJ404">
        <v>0</v>
      </c>
      <c r="AK404">
        <v>0</v>
      </c>
      <c r="AL404" t="s">
        <v>5568</v>
      </c>
      <c r="AM404" t="s">
        <v>1208</v>
      </c>
      <c r="AN404" t="s">
        <v>1900</v>
      </c>
      <c r="AO404" t="s">
        <v>5569</v>
      </c>
      <c r="AP404" t="s">
        <v>74</v>
      </c>
      <c r="AQ404" t="s">
        <v>74</v>
      </c>
      <c r="AR404" t="s">
        <v>5570</v>
      </c>
      <c r="AS404" t="s">
        <v>5571</v>
      </c>
      <c r="AT404" t="s">
        <v>5036</v>
      </c>
      <c r="AU404">
        <v>2000</v>
      </c>
      <c r="AV404">
        <v>57</v>
      </c>
      <c r="AW404" t="s">
        <v>74</v>
      </c>
      <c r="AX404" t="s">
        <v>74</v>
      </c>
      <c r="AY404" t="s">
        <v>2682</v>
      </c>
      <c r="AZ404" t="s">
        <v>74</v>
      </c>
      <c r="BA404" t="s">
        <v>74</v>
      </c>
      <c r="BB404">
        <v>121</v>
      </c>
      <c r="BC404">
        <v>135</v>
      </c>
      <c r="BD404" t="s">
        <v>74</v>
      </c>
      <c r="BE404" t="s">
        <v>5629</v>
      </c>
      <c r="BF404" t="str">
        <f>HYPERLINK("http://dx.doi.org/10.1006/jfbi.2000.1614","http://dx.doi.org/10.1006/jfbi.2000.1614")</f>
        <v>http://dx.doi.org/10.1006/jfbi.2000.1614</v>
      </c>
      <c r="BG404" t="s">
        <v>74</v>
      </c>
      <c r="BH404" t="s">
        <v>74</v>
      </c>
      <c r="BI404">
        <v>15</v>
      </c>
      <c r="BJ404" t="s">
        <v>4308</v>
      </c>
      <c r="BK404" t="s">
        <v>596</v>
      </c>
      <c r="BL404" t="s">
        <v>4308</v>
      </c>
      <c r="BM404" t="s">
        <v>5573</v>
      </c>
      <c r="BN404" t="s">
        <v>74</v>
      </c>
      <c r="BO404" t="s">
        <v>74</v>
      </c>
      <c r="BP404" t="s">
        <v>74</v>
      </c>
      <c r="BQ404" t="s">
        <v>74</v>
      </c>
      <c r="BR404" t="s">
        <v>97</v>
      </c>
      <c r="BS404" t="s">
        <v>5630</v>
      </c>
      <c r="BT404" t="str">
        <f>HYPERLINK("https%3A%2F%2Fwww.webofscience.com%2Fwos%2Fwoscc%2Ffull-record%2FWOS:000165837200010","View Full Record in Web of Science")</f>
        <v>View Full Record in Web of Science</v>
      </c>
    </row>
    <row r="405" spans="1:72" x14ac:dyDescent="0.15">
      <c r="A405" t="s">
        <v>72</v>
      </c>
      <c r="B405" t="s">
        <v>5631</v>
      </c>
      <c r="C405" t="s">
        <v>74</v>
      </c>
      <c r="D405" t="s">
        <v>74</v>
      </c>
      <c r="E405" t="s">
        <v>74</v>
      </c>
      <c r="F405" t="s">
        <v>5631</v>
      </c>
      <c r="G405" t="s">
        <v>74</v>
      </c>
      <c r="H405" t="s">
        <v>74</v>
      </c>
      <c r="I405" t="s">
        <v>5632</v>
      </c>
      <c r="J405" t="s">
        <v>2143</v>
      </c>
      <c r="K405" t="s">
        <v>74</v>
      </c>
      <c r="L405" t="s">
        <v>74</v>
      </c>
      <c r="M405" t="s">
        <v>77</v>
      </c>
      <c r="N405" t="s">
        <v>78</v>
      </c>
      <c r="O405" t="s">
        <v>74</v>
      </c>
      <c r="P405" t="s">
        <v>74</v>
      </c>
      <c r="Q405" t="s">
        <v>74</v>
      </c>
      <c r="R405" t="s">
        <v>74</v>
      </c>
      <c r="S405" t="s">
        <v>74</v>
      </c>
      <c r="T405" t="s">
        <v>74</v>
      </c>
      <c r="U405" t="s">
        <v>5633</v>
      </c>
      <c r="V405" t="s">
        <v>5634</v>
      </c>
      <c r="W405" t="s">
        <v>885</v>
      </c>
      <c r="X405" t="s">
        <v>221</v>
      </c>
      <c r="Y405" t="s">
        <v>74</v>
      </c>
      <c r="Z405" t="s">
        <v>5635</v>
      </c>
      <c r="AA405" t="s">
        <v>74</v>
      </c>
      <c r="AB405" t="s">
        <v>74</v>
      </c>
      <c r="AC405" t="s">
        <v>74</v>
      </c>
      <c r="AD405" t="s">
        <v>74</v>
      </c>
      <c r="AE405" t="s">
        <v>74</v>
      </c>
      <c r="AF405" t="s">
        <v>74</v>
      </c>
      <c r="AG405">
        <v>54</v>
      </c>
      <c r="AH405">
        <v>32</v>
      </c>
      <c r="AI405">
        <v>34</v>
      </c>
      <c r="AJ405">
        <v>0</v>
      </c>
      <c r="AK405">
        <v>1</v>
      </c>
      <c r="AL405" t="s">
        <v>1059</v>
      </c>
      <c r="AM405" t="s">
        <v>1060</v>
      </c>
      <c r="AN405" t="s">
        <v>1061</v>
      </c>
      <c r="AO405" t="s">
        <v>2150</v>
      </c>
      <c r="AP405" t="s">
        <v>2151</v>
      </c>
      <c r="AQ405" t="s">
        <v>74</v>
      </c>
      <c r="AR405" t="s">
        <v>2152</v>
      </c>
      <c r="AS405" t="s">
        <v>2153</v>
      </c>
      <c r="AT405" t="s">
        <v>5360</v>
      </c>
      <c r="AU405">
        <v>2000</v>
      </c>
      <c r="AV405">
        <v>105</v>
      </c>
      <c r="AW405" t="s">
        <v>5636</v>
      </c>
      <c r="AX405" t="s">
        <v>74</v>
      </c>
      <c r="AY405" t="s">
        <v>74</v>
      </c>
      <c r="AZ405" t="s">
        <v>74</v>
      </c>
      <c r="BA405" t="s">
        <v>74</v>
      </c>
      <c r="BB405">
        <v>27081</v>
      </c>
      <c r="BC405">
        <v>27093</v>
      </c>
      <c r="BD405" t="s">
        <v>74</v>
      </c>
      <c r="BE405" t="s">
        <v>5637</v>
      </c>
      <c r="BF405" t="str">
        <f>HYPERLINK("http://dx.doi.org/10.1029/2000JA900071","http://dx.doi.org/10.1029/2000JA900071")</f>
        <v>http://dx.doi.org/10.1029/2000JA900071</v>
      </c>
      <c r="BG405" t="s">
        <v>74</v>
      </c>
      <c r="BH405" t="s">
        <v>74</v>
      </c>
      <c r="BI405">
        <v>13</v>
      </c>
      <c r="BJ405" t="s">
        <v>909</v>
      </c>
      <c r="BK405" t="s">
        <v>94</v>
      </c>
      <c r="BL405" t="s">
        <v>909</v>
      </c>
      <c r="BM405" t="s">
        <v>5638</v>
      </c>
      <c r="BN405" t="s">
        <v>74</v>
      </c>
      <c r="BO405" t="s">
        <v>296</v>
      </c>
      <c r="BP405" t="s">
        <v>74</v>
      </c>
      <c r="BQ405" t="s">
        <v>74</v>
      </c>
      <c r="BR405" t="s">
        <v>97</v>
      </c>
      <c r="BS405" t="s">
        <v>5639</v>
      </c>
      <c r="BT405" t="str">
        <f>HYPERLINK("https%3A%2F%2Fwww.webofscience.com%2Fwos%2Fwoscc%2Ffull-record%2FWOS:000166040200002","View Full Record in Web of Science")</f>
        <v>View Full Record in Web of Science</v>
      </c>
    </row>
    <row r="406" spans="1:72" x14ac:dyDescent="0.15">
      <c r="A406" t="s">
        <v>72</v>
      </c>
      <c r="B406" t="s">
        <v>5640</v>
      </c>
      <c r="C406" t="s">
        <v>74</v>
      </c>
      <c r="D406" t="s">
        <v>74</v>
      </c>
      <c r="E406" t="s">
        <v>74</v>
      </c>
      <c r="F406" t="s">
        <v>5640</v>
      </c>
      <c r="G406" t="s">
        <v>74</v>
      </c>
      <c r="H406" t="s">
        <v>74</v>
      </c>
      <c r="I406" t="s">
        <v>5641</v>
      </c>
      <c r="J406" t="s">
        <v>2143</v>
      </c>
      <c r="K406" t="s">
        <v>74</v>
      </c>
      <c r="L406" t="s">
        <v>74</v>
      </c>
      <c r="M406" t="s">
        <v>77</v>
      </c>
      <c r="N406" t="s">
        <v>78</v>
      </c>
      <c r="O406" t="s">
        <v>74</v>
      </c>
      <c r="P406" t="s">
        <v>74</v>
      </c>
      <c r="Q406" t="s">
        <v>74</v>
      </c>
      <c r="R406" t="s">
        <v>74</v>
      </c>
      <c r="S406" t="s">
        <v>74</v>
      </c>
      <c r="T406" t="s">
        <v>74</v>
      </c>
      <c r="U406" t="s">
        <v>5642</v>
      </c>
      <c r="V406" t="s">
        <v>5643</v>
      </c>
      <c r="W406" t="s">
        <v>5644</v>
      </c>
      <c r="X406" t="s">
        <v>5645</v>
      </c>
      <c r="Y406" t="s">
        <v>5646</v>
      </c>
      <c r="Z406" t="s">
        <v>5647</v>
      </c>
      <c r="AA406" t="s">
        <v>74</v>
      </c>
      <c r="AB406" t="s">
        <v>5648</v>
      </c>
      <c r="AC406" t="s">
        <v>74</v>
      </c>
      <c r="AD406" t="s">
        <v>74</v>
      </c>
      <c r="AE406" t="s">
        <v>74</v>
      </c>
      <c r="AF406" t="s">
        <v>74</v>
      </c>
      <c r="AG406">
        <v>21</v>
      </c>
      <c r="AH406">
        <v>77</v>
      </c>
      <c r="AI406">
        <v>82</v>
      </c>
      <c r="AJ406">
        <v>0</v>
      </c>
      <c r="AK406">
        <v>1</v>
      </c>
      <c r="AL406" t="s">
        <v>1059</v>
      </c>
      <c r="AM406" t="s">
        <v>1060</v>
      </c>
      <c r="AN406" t="s">
        <v>1061</v>
      </c>
      <c r="AO406" t="s">
        <v>2150</v>
      </c>
      <c r="AP406" t="s">
        <v>2151</v>
      </c>
      <c r="AQ406" t="s">
        <v>74</v>
      </c>
      <c r="AR406" t="s">
        <v>2152</v>
      </c>
      <c r="AS406" t="s">
        <v>2153</v>
      </c>
      <c r="AT406" t="s">
        <v>5360</v>
      </c>
      <c r="AU406">
        <v>2000</v>
      </c>
      <c r="AV406">
        <v>105</v>
      </c>
      <c r="AW406" t="s">
        <v>5636</v>
      </c>
      <c r="AX406" t="s">
        <v>74</v>
      </c>
      <c r="AY406" t="s">
        <v>74</v>
      </c>
      <c r="AZ406" t="s">
        <v>74</v>
      </c>
      <c r="BA406" t="s">
        <v>74</v>
      </c>
      <c r="BB406">
        <v>27457</v>
      </c>
      <c r="BC406">
        <v>27468</v>
      </c>
      <c r="BD406" t="s">
        <v>74</v>
      </c>
      <c r="BE406" t="s">
        <v>5649</v>
      </c>
      <c r="BF406" t="str">
        <f>HYPERLINK("http://dx.doi.org/10.1029/2000JA000064","http://dx.doi.org/10.1029/2000JA000064")</f>
        <v>http://dx.doi.org/10.1029/2000JA000064</v>
      </c>
      <c r="BG406" t="s">
        <v>74</v>
      </c>
      <c r="BH406" t="s">
        <v>74</v>
      </c>
      <c r="BI406">
        <v>12</v>
      </c>
      <c r="BJ406" t="s">
        <v>909</v>
      </c>
      <c r="BK406" t="s">
        <v>94</v>
      </c>
      <c r="BL406" t="s">
        <v>909</v>
      </c>
      <c r="BM406" t="s">
        <v>5638</v>
      </c>
      <c r="BN406" t="s">
        <v>74</v>
      </c>
      <c r="BO406" t="s">
        <v>1755</v>
      </c>
      <c r="BP406" t="s">
        <v>74</v>
      </c>
      <c r="BQ406" t="s">
        <v>74</v>
      </c>
      <c r="BR406" t="s">
        <v>97</v>
      </c>
      <c r="BS406" t="s">
        <v>5650</v>
      </c>
      <c r="BT406" t="str">
        <f>HYPERLINK("https%3A%2F%2Fwww.webofscience.com%2Fwos%2Fwoscc%2Ffull-record%2FWOS:000166040200032","View Full Record in Web of Science")</f>
        <v>View Full Record in Web of Science</v>
      </c>
    </row>
    <row r="407" spans="1:72" x14ac:dyDescent="0.15">
      <c r="A407" t="s">
        <v>72</v>
      </c>
      <c r="B407" t="s">
        <v>5651</v>
      </c>
      <c r="C407" t="s">
        <v>74</v>
      </c>
      <c r="D407" t="s">
        <v>74</v>
      </c>
      <c r="E407" t="s">
        <v>74</v>
      </c>
      <c r="F407" t="s">
        <v>5651</v>
      </c>
      <c r="G407" t="s">
        <v>74</v>
      </c>
      <c r="H407" t="s">
        <v>74</v>
      </c>
      <c r="I407" t="s">
        <v>5652</v>
      </c>
      <c r="J407" t="s">
        <v>2143</v>
      </c>
      <c r="K407" t="s">
        <v>74</v>
      </c>
      <c r="L407" t="s">
        <v>74</v>
      </c>
      <c r="M407" t="s">
        <v>77</v>
      </c>
      <c r="N407" t="s">
        <v>78</v>
      </c>
      <c r="O407" t="s">
        <v>74</v>
      </c>
      <c r="P407" t="s">
        <v>74</v>
      </c>
      <c r="Q407" t="s">
        <v>74</v>
      </c>
      <c r="R407" t="s">
        <v>74</v>
      </c>
      <c r="S407" t="s">
        <v>74</v>
      </c>
      <c r="T407" t="s">
        <v>74</v>
      </c>
      <c r="U407" t="s">
        <v>5653</v>
      </c>
      <c r="V407" t="s">
        <v>5654</v>
      </c>
      <c r="W407" t="s">
        <v>5655</v>
      </c>
      <c r="X407" t="s">
        <v>5656</v>
      </c>
      <c r="Y407" t="s">
        <v>5657</v>
      </c>
      <c r="Z407" t="s">
        <v>5658</v>
      </c>
      <c r="AA407" t="s">
        <v>5659</v>
      </c>
      <c r="AB407" t="s">
        <v>5660</v>
      </c>
      <c r="AC407" t="s">
        <v>74</v>
      </c>
      <c r="AD407" t="s">
        <v>74</v>
      </c>
      <c r="AE407" t="s">
        <v>74</v>
      </c>
      <c r="AF407" t="s">
        <v>74</v>
      </c>
      <c r="AG407">
        <v>18</v>
      </c>
      <c r="AH407">
        <v>11</v>
      </c>
      <c r="AI407">
        <v>11</v>
      </c>
      <c r="AJ407">
        <v>0</v>
      </c>
      <c r="AK407">
        <v>1</v>
      </c>
      <c r="AL407" t="s">
        <v>1059</v>
      </c>
      <c r="AM407" t="s">
        <v>1060</v>
      </c>
      <c r="AN407" t="s">
        <v>1061</v>
      </c>
      <c r="AO407" t="s">
        <v>2150</v>
      </c>
      <c r="AP407" t="s">
        <v>2151</v>
      </c>
      <c r="AQ407" t="s">
        <v>74</v>
      </c>
      <c r="AR407" t="s">
        <v>2152</v>
      </c>
      <c r="AS407" t="s">
        <v>2153</v>
      </c>
      <c r="AT407" t="s">
        <v>5360</v>
      </c>
      <c r="AU407">
        <v>2000</v>
      </c>
      <c r="AV407">
        <v>105</v>
      </c>
      <c r="AW407" t="s">
        <v>5636</v>
      </c>
      <c r="AX407" t="s">
        <v>74</v>
      </c>
      <c r="AY407" t="s">
        <v>74</v>
      </c>
      <c r="AZ407" t="s">
        <v>74</v>
      </c>
      <c r="BA407" t="s">
        <v>74</v>
      </c>
      <c r="BB407">
        <v>27569</v>
      </c>
      <c r="BC407">
        <v>27587</v>
      </c>
      <c r="BD407" t="s">
        <v>74</v>
      </c>
      <c r="BE407" t="s">
        <v>5661</v>
      </c>
      <c r="BF407" t="str">
        <f>HYPERLINK("http://dx.doi.org/10.1029/2000JA900076","http://dx.doi.org/10.1029/2000JA900076")</f>
        <v>http://dx.doi.org/10.1029/2000JA900076</v>
      </c>
      <c r="BG407" t="s">
        <v>74</v>
      </c>
      <c r="BH407" t="s">
        <v>74</v>
      </c>
      <c r="BI407">
        <v>19</v>
      </c>
      <c r="BJ407" t="s">
        <v>909</v>
      </c>
      <c r="BK407" t="s">
        <v>94</v>
      </c>
      <c r="BL407" t="s">
        <v>909</v>
      </c>
      <c r="BM407" t="s">
        <v>5638</v>
      </c>
      <c r="BN407" t="s">
        <v>74</v>
      </c>
      <c r="BO407" t="s">
        <v>1755</v>
      </c>
      <c r="BP407" t="s">
        <v>74</v>
      </c>
      <c r="BQ407" t="s">
        <v>74</v>
      </c>
      <c r="BR407" t="s">
        <v>97</v>
      </c>
      <c r="BS407" t="s">
        <v>5662</v>
      </c>
      <c r="BT407" t="str">
        <f>HYPERLINK("https%3A%2F%2Fwww.webofscience.com%2Fwos%2Fwoscc%2Ffull-record%2FWOS:000166040200042","View Full Record in Web of Science")</f>
        <v>View Full Record in Web of Science</v>
      </c>
    </row>
    <row r="408" spans="1:72" x14ac:dyDescent="0.15">
      <c r="A408" t="s">
        <v>72</v>
      </c>
      <c r="B408" t="s">
        <v>5663</v>
      </c>
      <c r="C408" t="s">
        <v>74</v>
      </c>
      <c r="D408" t="s">
        <v>74</v>
      </c>
      <c r="E408" t="s">
        <v>74</v>
      </c>
      <c r="F408" t="s">
        <v>5663</v>
      </c>
      <c r="G408" t="s">
        <v>74</v>
      </c>
      <c r="H408" t="s">
        <v>74</v>
      </c>
      <c r="I408" t="s">
        <v>5664</v>
      </c>
      <c r="J408" t="s">
        <v>2143</v>
      </c>
      <c r="K408" t="s">
        <v>74</v>
      </c>
      <c r="L408" t="s">
        <v>74</v>
      </c>
      <c r="M408" t="s">
        <v>77</v>
      </c>
      <c r="N408" t="s">
        <v>78</v>
      </c>
      <c r="O408" t="s">
        <v>74</v>
      </c>
      <c r="P408" t="s">
        <v>74</v>
      </c>
      <c r="Q408" t="s">
        <v>74</v>
      </c>
      <c r="R408" t="s">
        <v>74</v>
      </c>
      <c r="S408" t="s">
        <v>74</v>
      </c>
      <c r="T408" t="s">
        <v>74</v>
      </c>
      <c r="U408" t="s">
        <v>5665</v>
      </c>
      <c r="V408" t="s">
        <v>5666</v>
      </c>
      <c r="W408" t="s">
        <v>5667</v>
      </c>
      <c r="X408" t="s">
        <v>5668</v>
      </c>
      <c r="Y408" t="s">
        <v>2200</v>
      </c>
      <c r="Z408" t="s">
        <v>5669</v>
      </c>
      <c r="AA408" t="s">
        <v>5670</v>
      </c>
      <c r="AB408" t="s">
        <v>5671</v>
      </c>
      <c r="AC408" t="s">
        <v>74</v>
      </c>
      <c r="AD408" t="s">
        <v>74</v>
      </c>
      <c r="AE408" t="s">
        <v>74</v>
      </c>
      <c r="AF408" t="s">
        <v>74</v>
      </c>
      <c r="AG408">
        <v>34</v>
      </c>
      <c r="AH408">
        <v>160</v>
      </c>
      <c r="AI408">
        <v>167</v>
      </c>
      <c r="AJ408">
        <v>0</v>
      </c>
      <c r="AK408">
        <v>4</v>
      </c>
      <c r="AL408" t="s">
        <v>1059</v>
      </c>
      <c r="AM408" t="s">
        <v>1060</v>
      </c>
      <c r="AN408" t="s">
        <v>1061</v>
      </c>
      <c r="AO408" t="s">
        <v>2150</v>
      </c>
      <c r="AP408" t="s">
        <v>2151</v>
      </c>
      <c r="AQ408" t="s">
        <v>74</v>
      </c>
      <c r="AR408" t="s">
        <v>2152</v>
      </c>
      <c r="AS408" t="s">
        <v>2153</v>
      </c>
      <c r="AT408" t="s">
        <v>5360</v>
      </c>
      <c r="AU408">
        <v>2000</v>
      </c>
      <c r="AV408">
        <v>105</v>
      </c>
      <c r="AW408" t="s">
        <v>5636</v>
      </c>
      <c r="AX408" t="s">
        <v>74</v>
      </c>
      <c r="AY408" t="s">
        <v>74</v>
      </c>
      <c r="AZ408" t="s">
        <v>74</v>
      </c>
      <c r="BA408" t="s">
        <v>74</v>
      </c>
      <c r="BB408">
        <v>27597</v>
      </c>
      <c r="BC408">
        <v>27610</v>
      </c>
      <c r="BD408" t="s">
        <v>74</v>
      </c>
      <c r="BE408" t="s">
        <v>5672</v>
      </c>
      <c r="BF408" t="str">
        <f>HYPERLINK("http://dx.doi.org/10.1029/2000JA000018","http://dx.doi.org/10.1029/2000JA000018")</f>
        <v>http://dx.doi.org/10.1029/2000JA000018</v>
      </c>
      <c r="BG408" t="s">
        <v>74</v>
      </c>
      <c r="BH408" t="s">
        <v>74</v>
      </c>
      <c r="BI408">
        <v>14</v>
      </c>
      <c r="BJ408" t="s">
        <v>909</v>
      </c>
      <c r="BK408" t="s">
        <v>94</v>
      </c>
      <c r="BL408" t="s">
        <v>909</v>
      </c>
      <c r="BM408" t="s">
        <v>5638</v>
      </c>
      <c r="BN408" t="s">
        <v>74</v>
      </c>
      <c r="BO408" t="s">
        <v>1755</v>
      </c>
      <c r="BP408" t="s">
        <v>74</v>
      </c>
      <c r="BQ408" t="s">
        <v>74</v>
      </c>
      <c r="BR408" t="s">
        <v>97</v>
      </c>
      <c r="BS408" t="s">
        <v>5673</v>
      </c>
      <c r="BT408" t="str">
        <f>HYPERLINK("https%3A%2F%2Fwww.webofscience.com%2Fwos%2Fwoscc%2Ffull-record%2FWOS:000166040200044","View Full Record in Web of Science")</f>
        <v>View Full Record in Web of Science</v>
      </c>
    </row>
    <row r="409" spans="1:72" x14ac:dyDescent="0.15">
      <c r="A409" t="s">
        <v>72</v>
      </c>
      <c r="B409" t="s">
        <v>5674</v>
      </c>
      <c r="C409" t="s">
        <v>74</v>
      </c>
      <c r="D409" t="s">
        <v>74</v>
      </c>
      <c r="E409" t="s">
        <v>74</v>
      </c>
      <c r="F409" t="s">
        <v>5674</v>
      </c>
      <c r="G409" t="s">
        <v>74</v>
      </c>
      <c r="H409" t="s">
        <v>74</v>
      </c>
      <c r="I409" t="s">
        <v>5675</v>
      </c>
      <c r="J409" t="s">
        <v>2387</v>
      </c>
      <c r="K409" t="s">
        <v>74</v>
      </c>
      <c r="L409" t="s">
        <v>74</v>
      </c>
      <c r="M409" t="s">
        <v>77</v>
      </c>
      <c r="N409" t="s">
        <v>576</v>
      </c>
      <c r="O409" t="s">
        <v>5676</v>
      </c>
      <c r="P409" t="s">
        <v>5677</v>
      </c>
      <c r="Q409" t="s">
        <v>5678</v>
      </c>
      <c r="R409" t="s">
        <v>74</v>
      </c>
      <c r="S409" t="s">
        <v>74</v>
      </c>
      <c r="T409" t="s">
        <v>5679</v>
      </c>
      <c r="U409" t="s">
        <v>5680</v>
      </c>
      <c r="V409" t="s">
        <v>5681</v>
      </c>
      <c r="W409" t="s">
        <v>5682</v>
      </c>
      <c r="X409" t="s">
        <v>5683</v>
      </c>
      <c r="Y409" t="s">
        <v>5684</v>
      </c>
      <c r="Z409" t="s">
        <v>5685</v>
      </c>
      <c r="AA409" t="s">
        <v>5686</v>
      </c>
      <c r="AB409" t="s">
        <v>5687</v>
      </c>
      <c r="AC409" t="s">
        <v>74</v>
      </c>
      <c r="AD409" t="s">
        <v>74</v>
      </c>
      <c r="AE409" t="s">
        <v>74</v>
      </c>
      <c r="AF409" t="s">
        <v>74</v>
      </c>
      <c r="AG409">
        <v>61</v>
      </c>
      <c r="AH409">
        <v>8</v>
      </c>
      <c r="AI409">
        <v>10</v>
      </c>
      <c r="AJ409">
        <v>1</v>
      </c>
      <c r="AK409">
        <v>4</v>
      </c>
      <c r="AL409" t="s">
        <v>1120</v>
      </c>
      <c r="AM409" t="s">
        <v>1121</v>
      </c>
      <c r="AN409" t="s">
        <v>2394</v>
      </c>
      <c r="AO409" t="s">
        <v>2395</v>
      </c>
      <c r="AP409" t="s">
        <v>74</v>
      </c>
      <c r="AQ409" t="s">
        <v>74</v>
      </c>
      <c r="AR409" t="s">
        <v>2396</v>
      </c>
      <c r="AS409" t="s">
        <v>2397</v>
      </c>
      <c r="AT409" t="s">
        <v>5036</v>
      </c>
      <c r="AU409">
        <v>2000</v>
      </c>
      <c r="AV409">
        <v>27</v>
      </c>
      <c r="AW409" t="s">
        <v>1257</v>
      </c>
      <c r="AX409" t="s">
        <v>74</v>
      </c>
      <c r="AY409" t="s">
        <v>74</v>
      </c>
      <c r="AZ409" t="s">
        <v>74</v>
      </c>
      <c r="BA409" t="s">
        <v>74</v>
      </c>
      <c r="BB409">
        <v>195</v>
      </c>
      <c r="BC409">
        <v>208</v>
      </c>
      <c r="BD409" t="s">
        <v>74</v>
      </c>
      <c r="BE409" t="s">
        <v>5688</v>
      </c>
      <c r="BF409" t="str">
        <f>HYPERLINK("http://dx.doi.org/10.1016/S0924-7963(00)00067-1","http://dx.doi.org/10.1016/S0924-7963(00)00067-1")</f>
        <v>http://dx.doi.org/10.1016/S0924-7963(00)00067-1</v>
      </c>
      <c r="BG409" t="s">
        <v>74</v>
      </c>
      <c r="BH409" t="s">
        <v>74</v>
      </c>
      <c r="BI409">
        <v>14</v>
      </c>
      <c r="BJ409" t="s">
        <v>2399</v>
      </c>
      <c r="BK409" t="s">
        <v>2763</v>
      </c>
      <c r="BL409" t="s">
        <v>2400</v>
      </c>
      <c r="BM409" t="s">
        <v>5689</v>
      </c>
      <c r="BN409" t="s">
        <v>74</v>
      </c>
      <c r="BO409" t="s">
        <v>74</v>
      </c>
      <c r="BP409" t="s">
        <v>74</v>
      </c>
      <c r="BQ409" t="s">
        <v>74</v>
      </c>
      <c r="BR409" t="s">
        <v>97</v>
      </c>
      <c r="BS409" t="s">
        <v>5690</v>
      </c>
      <c r="BT409" t="str">
        <f>HYPERLINK("https%3A%2F%2Fwww.webofscience.com%2Fwos%2Fwoscc%2Ffull-record%2FWOS:000165666700010","View Full Record in Web of Science")</f>
        <v>View Full Record in Web of Science</v>
      </c>
    </row>
    <row r="410" spans="1:72" x14ac:dyDescent="0.15">
      <c r="A410" t="s">
        <v>72</v>
      </c>
      <c r="B410" t="s">
        <v>5691</v>
      </c>
      <c r="C410" t="s">
        <v>74</v>
      </c>
      <c r="D410" t="s">
        <v>74</v>
      </c>
      <c r="E410" t="s">
        <v>74</v>
      </c>
      <c r="F410" t="s">
        <v>5691</v>
      </c>
      <c r="G410" t="s">
        <v>74</v>
      </c>
      <c r="H410" t="s">
        <v>74</v>
      </c>
      <c r="I410" t="s">
        <v>5692</v>
      </c>
      <c r="J410" t="s">
        <v>2387</v>
      </c>
      <c r="K410" t="s">
        <v>74</v>
      </c>
      <c r="L410" t="s">
        <v>74</v>
      </c>
      <c r="M410" t="s">
        <v>77</v>
      </c>
      <c r="N410" t="s">
        <v>576</v>
      </c>
      <c r="O410" t="s">
        <v>5676</v>
      </c>
      <c r="P410" t="s">
        <v>5677</v>
      </c>
      <c r="Q410" t="s">
        <v>5678</v>
      </c>
      <c r="R410" t="s">
        <v>74</v>
      </c>
      <c r="S410" t="s">
        <v>74</v>
      </c>
      <c r="T410" t="s">
        <v>5693</v>
      </c>
      <c r="U410" t="s">
        <v>5694</v>
      </c>
      <c r="V410" t="s">
        <v>5695</v>
      </c>
      <c r="W410" t="s">
        <v>5696</v>
      </c>
      <c r="X410" t="s">
        <v>1250</v>
      </c>
      <c r="Y410" t="s">
        <v>5697</v>
      </c>
      <c r="Z410" t="s">
        <v>74</v>
      </c>
      <c r="AA410" t="s">
        <v>74</v>
      </c>
      <c r="AB410" t="s">
        <v>74</v>
      </c>
      <c r="AC410" t="s">
        <v>74</v>
      </c>
      <c r="AD410" t="s">
        <v>74</v>
      </c>
      <c r="AE410" t="s">
        <v>74</v>
      </c>
      <c r="AF410" t="s">
        <v>74</v>
      </c>
      <c r="AG410">
        <v>68</v>
      </c>
      <c r="AH410">
        <v>17</v>
      </c>
      <c r="AI410">
        <v>18</v>
      </c>
      <c r="AJ410">
        <v>0</v>
      </c>
      <c r="AK410">
        <v>10</v>
      </c>
      <c r="AL410" t="s">
        <v>1120</v>
      </c>
      <c r="AM410" t="s">
        <v>1121</v>
      </c>
      <c r="AN410" t="s">
        <v>2394</v>
      </c>
      <c r="AO410" t="s">
        <v>2395</v>
      </c>
      <c r="AP410" t="s">
        <v>74</v>
      </c>
      <c r="AQ410" t="s">
        <v>74</v>
      </c>
      <c r="AR410" t="s">
        <v>2396</v>
      </c>
      <c r="AS410" t="s">
        <v>2397</v>
      </c>
      <c r="AT410" t="s">
        <v>5036</v>
      </c>
      <c r="AU410">
        <v>2000</v>
      </c>
      <c r="AV410">
        <v>27</v>
      </c>
      <c r="AW410" t="s">
        <v>1257</v>
      </c>
      <c r="AX410" t="s">
        <v>74</v>
      </c>
      <c r="AY410" t="s">
        <v>74</v>
      </c>
      <c r="AZ410" t="s">
        <v>74</v>
      </c>
      <c r="BA410" t="s">
        <v>74</v>
      </c>
      <c r="BB410">
        <v>235</v>
      </c>
      <c r="BC410">
        <v>252</v>
      </c>
      <c r="BD410" t="s">
        <v>74</v>
      </c>
      <c r="BE410" t="s">
        <v>5698</v>
      </c>
      <c r="BF410" t="str">
        <f>HYPERLINK("http://dx.doi.org/10.1016/S0924-7963(00)00070-1","http://dx.doi.org/10.1016/S0924-7963(00)00070-1")</f>
        <v>http://dx.doi.org/10.1016/S0924-7963(00)00070-1</v>
      </c>
      <c r="BG410" t="s">
        <v>74</v>
      </c>
      <c r="BH410" t="s">
        <v>74</v>
      </c>
      <c r="BI410">
        <v>18</v>
      </c>
      <c r="BJ410" t="s">
        <v>2399</v>
      </c>
      <c r="BK410" t="s">
        <v>596</v>
      </c>
      <c r="BL410" t="s">
        <v>2400</v>
      </c>
      <c r="BM410" t="s">
        <v>5689</v>
      </c>
      <c r="BN410" t="s">
        <v>74</v>
      </c>
      <c r="BO410" t="s">
        <v>1337</v>
      </c>
      <c r="BP410" t="s">
        <v>74</v>
      </c>
      <c r="BQ410" t="s">
        <v>74</v>
      </c>
      <c r="BR410" t="s">
        <v>97</v>
      </c>
      <c r="BS410" t="s">
        <v>5699</v>
      </c>
      <c r="BT410" t="str">
        <f>HYPERLINK("https%3A%2F%2Fwww.webofscience.com%2Fwos%2Fwoscc%2Ffull-record%2FWOS:000165666700013","View Full Record in Web of Science")</f>
        <v>View Full Record in Web of Science</v>
      </c>
    </row>
    <row r="411" spans="1:72" x14ac:dyDescent="0.15">
      <c r="A411" t="s">
        <v>72</v>
      </c>
      <c r="B411" t="s">
        <v>5700</v>
      </c>
      <c r="C411" t="s">
        <v>74</v>
      </c>
      <c r="D411" t="s">
        <v>74</v>
      </c>
      <c r="E411" t="s">
        <v>74</v>
      </c>
      <c r="F411" t="s">
        <v>5700</v>
      </c>
      <c r="G411" t="s">
        <v>74</v>
      </c>
      <c r="H411" t="s">
        <v>74</v>
      </c>
      <c r="I411" t="s">
        <v>5701</v>
      </c>
      <c r="J411" t="s">
        <v>2387</v>
      </c>
      <c r="K411" t="s">
        <v>74</v>
      </c>
      <c r="L411" t="s">
        <v>74</v>
      </c>
      <c r="M411" t="s">
        <v>77</v>
      </c>
      <c r="N411" t="s">
        <v>576</v>
      </c>
      <c r="O411" t="s">
        <v>5676</v>
      </c>
      <c r="P411" t="s">
        <v>5677</v>
      </c>
      <c r="Q411" t="s">
        <v>5678</v>
      </c>
      <c r="R411" t="s">
        <v>74</v>
      </c>
      <c r="S411" t="s">
        <v>74</v>
      </c>
      <c r="T411" t="s">
        <v>5702</v>
      </c>
      <c r="U411" t="s">
        <v>5703</v>
      </c>
      <c r="V411" t="s">
        <v>5704</v>
      </c>
      <c r="W411" t="s">
        <v>5564</v>
      </c>
      <c r="X411" t="s">
        <v>5565</v>
      </c>
      <c r="Y411" t="s">
        <v>5705</v>
      </c>
      <c r="Z411" t="s">
        <v>74</v>
      </c>
      <c r="AA411" t="s">
        <v>74</v>
      </c>
      <c r="AB411" t="s">
        <v>74</v>
      </c>
      <c r="AC411" t="s">
        <v>74</v>
      </c>
      <c r="AD411" t="s">
        <v>74</v>
      </c>
      <c r="AE411" t="s">
        <v>74</v>
      </c>
      <c r="AF411" t="s">
        <v>74</v>
      </c>
      <c r="AG411">
        <v>47</v>
      </c>
      <c r="AH411">
        <v>17</v>
      </c>
      <c r="AI411">
        <v>21</v>
      </c>
      <c r="AJ411">
        <v>1</v>
      </c>
      <c r="AK411">
        <v>23</v>
      </c>
      <c r="AL411" t="s">
        <v>1120</v>
      </c>
      <c r="AM411" t="s">
        <v>1121</v>
      </c>
      <c r="AN411" t="s">
        <v>2394</v>
      </c>
      <c r="AO411" t="s">
        <v>2395</v>
      </c>
      <c r="AP411" t="s">
        <v>74</v>
      </c>
      <c r="AQ411" t="s">
        <v>74</v>
      </c>
      <c r="AR411" t="s">
        <v>2396</v>
      </c>
      <c r="AS411" t="s">
        <v>2397</v>
      </c>
      <c r="AT411" t="s">
        <v>5036</v>
      </c>
      <c r="AU411">
        <v>2000</v>
      </c>
      <c r="AV411">
        <v>27</v>
      </c>
      <c r="AW411" t="s">
        <v>1257</v>
      </c>
      <c r="AX411" t="s">
        <v>74</v>
      </c>
      <c r="AY411" t="s">
        <v>74</v>
      </c>
      <c r="AZ411" t="s">
        <v>74</v>
      </c>
      <c r="BA411" t="s">
        <v>74</v>
      </c>
      <c r="BB411">
        <v>253</v>
      </c>
      <c r="BC411">
        <v>265</v>
      </c>
      <c r="BD411" t="s">
        <v>74</v>
      </c>
      <c r="BE411" t="s">
        <v>5706</v>
      </c>
      <c r="BF411" t="str">
        <f>HYPERLINK("http://dx.doi.org/10.1016/S0924-7963(00)00071-3","http://dx.doi.org/10.1016/S0924-7963(00)00071-3")</f>
        <v>http://dx.doi.org/10.1016/S0924-7963(00)00071-3</v>
      </c>
      <c r="BG411" t="s">
        <v>74</v>
      </c>
      <c r="BH411" t="s">
        <v>74</v>
      </c>
      <c r="BI411">
        <v>13</v>
      </c>
      <c r="BJ411" t="s">
        <v>2399</v>
      </c>
      <c r="BK411" t="s">
        <v>596</v>
      </c>
      <c r="BL411" t="s">
        <v>2400</v>
      </c>
      <c r="BM411" t="s">
        <v>5689</v>
      </c>
      <c r="BN411" t="s">
        <v>74</v>
      </c>
      <c r="BO411" t="s">
        <v>74</v>
      </c>
      <c r="BP411" t="s">
        <v>74</v>
      </c>
      <c r="BQ411" t="s">
        <v>74</v>
      </c>
      <c r="BR411" t="s">
        <v>97</v>
      </c>
      <c r="BS411" t="s">
        <v>5707</v>
      </c>
      <c r="BT411" t="str">
        <f>HYPERLINK("https%3A%2F%2Fwww.webofscience.com%2Fwos%2Fwoscc%2Ffull-record%2FWOS:000165666700014","View Full Record in Web of Science")</f>
        <v>View Full Record in Web of Science</v>
      </c>
    </row>
    <row r="412" spans="1:72" x14ac:dyDescent="0.15">
      <c r="A412" t="s">
        <v>72</v>
      </c>
      <c r="B412" t="s">
        <v>5708</v>
      </c>
      <c r="C412" t="s">
        <v>74</v>
      </c>
      <c r="D412" t="s">
        <v>74</v>
      </c>
      <c r="E412" t="s">
        <v>74</v>
      </c>
      <c r="F412" t="s">
        <v>5708</v>
      </c>
      <c r="G412" t="s">
        <v>74</v>
      </c>
      <c r="H412" t="s">
        <v>74</v>
      </c>
      <c r="I412" t="s">
        <v>5709</v>
      </c>
      <c r="J412" t="s">
        <v>2387</v>
      </c>
      <c r="K412" t="s">
        <v>74</v>
      </c>
      <c r="L412" t="s">
        <v>74</v>
      </c>
      <c r="M412" t="s">
        <v>77</v>
      </c>
      <c r="N412" t="s">
        <v>576</v>
      </c>
      <c r="O412" t="s">
        <v>5676</v>
      </c>
      <c r="P412" t="s">
        <v>5677</v>
      </c>
      <c r="Q412" t="s">
        <v>5678</v>
      </c>
      <c r="R412" t="s">
        <v>74</v>
      </c>
      <c r="S412" t="s">
        <v>74</v>
      </c>
      <c r="T412" t="s">
        <v>5710</v>
      </c>
      <c r="U412" t="s">
        <v>5711</v>
      </c>
      <c r="V412" t="s">
        <v>5712</v>
      </c>
      <c r="W412" t="s">
        <v>5713</v>
      </c>
      <c r="X412" t="s">
        <v>5714</v>
      </c>
      <c r="Y412" t="s">
        <v>5715</v>
      </c>
      <c r="Z412" t="s">
        <v>74</v>
      </c>
      <c r="AA412" t="s">
        <v>74</v>
      </c>
      <c r="AB412" t="s">
        <v>74</v>
      </c>
      <c r="AC412" t="s">
        <v>74</v>
      </c>
      <c r="AD412" t="s">
        <v>74</v>
      </c>
      <c r="AE412" t="s">
        <v>74</v>
      </c>
      <c r="AF412" t="s">
        <v>74</v>
      </c>
      <c r="AG412">
        <v>20</v>
      </c>
      <c r="AH412">
        <v>12</v>
      </c>
      <c r="AI412">
        <v>16</v>
      </c>
      <c r="AJ412">
        <v>0</v>
      </c>
      <c r="AK412">
        <v>20</v>
      </c>
      <c r="AL412" t="s">
        <v>1120</v>
      </c>
      <c r="AM412" t="s">
        <v>1121</v>
      </c>
      <c r="AN412" t="s">
        <v>2394</v>
      </c>
      <c r="AO412" t="s">
        <v>2395</v>
      </c>
      <c r="AP412" t="s">
        <v>74</v>
      </c>
      <c r="AQ412" t="s">
        <v>74</v>
      </c>
      <c r="AR412" t="s">
        <v>2396</v>
      </c>
      <c r="AS412" t="s">
        <v>2397</v>
      </c>
      <c r="AT412" t="s">
        <v>5036</v>
      </c>
      <c r="AU412">
        <v>2000</v>
      </c>
      <c r="AV412">
        <v>27</v>
      </c>
      <c r="AW412" t="s">
        <v>1257</v>
      </c>
      <c r="AX412" t="s">
        <v>74</v>
      </c>
      <c r="AY412" t="s">
        <v>74</v>
      </c>
      <c r="AZ412" t="s">
        <v>74</v>
      </c>
      <c r="BA412" t="s">
        <v>74</v>
      </c>
      <c r="BB412">
        <v>267</v>
      </c>
      <c r="BC412">
        <v>276</v>
      </c>
      <c r="BD412" t="s">
        <v>74</v>
      </c>
      <c r="BE412" t="s">
        <v>5716</v>
      </c>
      <c r="BF412" t="str">
        <f>HYPERLINK("http://dx.doi.org/10.1016/S0924-7963(00)00072-5","http://dx.doi.org/10.1016/S0924-7963(00)00072-5")</f>
        <v>http://dx.doi.org/10.1016/S0924-7963(00)00072-5</v>
      </c>
      <c r="BG412" t="s">
        <v>74</v>
      </c>
      <c r="BH412" t="s">
        <v>74</v>
      </c>
      <c r="BI412">
        <v>10</v>
      </c>
      <c r="BJ412" t="s">
        <v>2399</v>
      </c>
      <c r="BK412" t="s">
        <v>596</v>
      </c>
      <c r="BL412" t="s">
        <v>2400</v>
      </c>
      <c r="BM412" t="s">
        <v>5689</v>
      </c>
      <c r="BN412" t="s">
        <v>74</v>
      </c>
      <c r="BO412" t="s">
        <v>74</v>
      </c>
      <c r="BP412" t="s">
        <v>74</v>
      </c>
      <c r="BQ412" t="s">
        <v>74</v>
      </c>
      <c r="BR412" t="s">
        <v>97</v>
      </c>
      <c r="BS412" t="s">
        <v>5717</v>
      </c>
      <c r="BT412" t="str">
        <f>HYPERLINK("https%3A%2F%2Fwww.webofscience.com%2Fwos%2Fwoscc%2Ffull-record%2FWOS:000165666700015","View Full Record in Web of Science")</f>
        <v>View Full Record in Web of Science</v>
      </c>
    </row>
    <row r="413" spans="1:72" x14ac:dyDescent="0.15">
      <c r="A413" t="s">
        <v>72</v>
      </c>
      <c r="B413" t="s">
        <v>5718</v>
      </c>
      <c r="C413" t="s">
        <v>74</v>
      </c>
      <c r="D413" t="s">
        <v>74</v>
      </c>
      <c r="E413" t="s">
        <v>74</v>
      </c>
      <c r="F413" t="s">
        <v>5718</v>
      </c>
      <c r="G413" t="s">
        <v>74</v>
      </c>
      <c r="H413" t="s">
        <v>74</v>
      </c>
      <c r="I413" t="s">
        <v>5719</v>
      </c>
      <c r="J413" t="s">
        <v>2417</v>
      </c>
      <c r="K413" t="s">
        <v>74</v>
      </c>
      <c r="L413" t="s">
        <v>74</v>
      </c>
      <c r="M413" t="s">
        <v>77</v>
      </c>
      <c r="N413" t="s">
        <v>78</v>
      </c>
      <c r="O413" t="s">
        <v>74</v>
      </c>
      <c r="P413" t="s">
        <v>74</v>
      </c>
      <c r="Q413" t="s">
        <v>74</v>
      </c>
      <c r="R413" t="s">
        <v>74</v>
      </c>
      <c r="S413" t="s">
        <v>74</v>
      </c>
      <c r="T413" t="s">
        <v>74</v>
      </c>
      <c r="U413" t="s">
        <v>5720</v>
      </c>
      <c r="V413" t="s">
        <v>5721</v>
      </c>
      <c r="W413" t="s">
        <v>5722</v>
      </c>
      <c r="X413" t="s">
        <v>2027</v>
      </c>
      <c r="Y413" t="s">
        <v>5723</v>
      </c>
      <c r="Z413" t="s">
        <v>5724</v>
      </c>
      <c r="AA413" t="s">
        <v>5725</v>
      </c>
      <c r="AB413" t="s">
        <v>5726</v>
      </c>
      <c r="AC413" t="s">
        <v>74</v>
      </c>
      <c r="AD413" t="s">
        <v>74</v>
      </c>
      <c r="AE413" t="s">
        <v>74</v>
      </c>
      <c r="AF413" t="s">
        <v>74</v>
      </c>
      <c r="AG413">
        <v>44</v>
      </c>
      <c r="AH413">
        <v>141</v>
      </c>
      <c r="AI413">
        <v>158</v>
      </c>
      <c r="AJ413">
        <v>2</v>
      </c>
      <c r="AK413">
        <v>16</v>
      </c>
      <c r="AL413" t="s">
        <v>1842</v>
      </c>
      <c r="AM413" t="s">
        <v>1843</v>
      </c>
      <c r="AN413" t="s">
        <v>1844</v>
      </c>
      <c r="AO413" t="s">
        <v>2423</v>
      </c>
      <c r="AP413" t="s">
        <v>2491</v>
      </c>
      <c r="AQ413" t="s">
        <v>74</v>
      </c>
      <c r="AR413" t="s">
        <v>2424</v>
      </c>
      <c r="AS413" t="s">
        <v>2425</v>
      </c>
      <c r="AT413" t="s">
        <v>5036</v>
      </c>
      <c r="AU413">
        <v>2000</v>
      </c>
      <c r="AV413">
        <v>30</v>
      </c>
      <c r="AW413">
        <v>12</v>
      </c>
      <c r="AX413" t="s">
        <v>74</v>
      </c>
      <c r="AY413" t="s">
        <v>74</v>
      </c>
      <c r="AZ413" t="s">
        <v>74</v>
      </c>
      <c r="BA413" t="s">
        <v>74</v>
      </c>
      <c r="BB413">
        <v>3050</v>
      </c>
      <c r="BC413">
        <v>3076</v>
      </c>
      <c r="BD413" t="s">
        <v>74</v>
      </c>
      <c r="BE413" t="s">
        <v>5727</v>
      </c>
      <c r="BF413" t="str">
        <f>HYPERLINK("http://dx.doi.org/10.1175/1520-0485(2000)030&lt;3050:EVAEFD&gt;2.0.CO;2","http://dx.doi.org/10.1175/1520-0485(2000)030&lt;3050:EVAEFD&gt;2.0.CO;2")</f>
        <v>http://dx.doi.org/10.1175/1520-0485(2000)030&lt;3050:EVAEFD&gt;2.0.CO;2</v>
      </c>
      <c r="BG413" t="s">
        <v>74</v>
      </c>
      <c r="BH413" t="s">
        <v>74</v>
      </c>
      <c r="BI413">
        <v>27</v>
      </c>
      <c r="BJ413" t="s">
        <v>252</v>
      </c>
      <c r="BK413" t="s">
        <v>94</v>
      </c>
      <c r="BL413" t="s">
        <v>252</v>
      </c>
      <c r="BM413" t="s">
        <v>5728</v>
      </c>
      <c r="BN413" t="s">
        <v>74</v>
      </c>
      <c r="BO413" t="s">
        <v>1850</v>
      </c>
      <c r="BP413" t="s">
        <v>74</v>
      </c>
      <c r="BQ413" t="s">
        <v>74</v>
      </c>
      <c r="BR413" t="s">
        <v>97</v>
      </c>
      <c r="BS413" t="s">
        <v>5729</v>
      </c>
      <c r="BT413" t="str">
        <f>HYPERLINK("https%3A%2F%2Fwww.webofscience.com%2Fwos%2Fwoscc%2Ffull-record%2FWOS:000166037500003","View Full Record in Web of Science")</f>
        <v>View Full Record in Web of Science</v>
      </c>
    </row>
    <row r="414" spans="1:72" x14ac:dyDescent="0.15">
      <c r="A414" t="s">
        <v>72</v>
      </c>
      <c r="B414" t="s">
        <v>5730</v>
      </c>
      <c r="C414" t="s">
        <v>74</v>
      </c>
      <c r="D414" t="s">
        <v>74</v>
      </c>
      <c r="E414" t="s">
        <v>74</v>
      </c>
      <c r="F414" t="s">
        <v>5730</v>
      </c>
      <c r="G414" t="s">
        <v>74</v>
      </c>
      <c r="H414" t="s">
        <v>74</v>
      </c>
      <c r="I414" t="s">
        <v>5731</v>
      </c>
      <c r="J414" t="s">
        <v>2417</v>
      </c>
      <c r="K414" t="s">
        <v>74</v>
      </c>
      <c r="L414" t="s">
        <v>74</v>
      </c>
      <c r="M414" t="s">
        <v>77</v>
      </c>
      <c r="N414" t="s">
        <v>78</v>
      </c>
      <c r="O414" t="s">
        <v>74</v>
      </c>
      <c r="P414" t="s">
        <v>74</v>
      </c>
      <c r="Q414" t="s">
        <v>74</v>
      </c>
      <c r="R414" t="s">
        <v>74</v>
      </c>
      <c r="S414" t="s">
        <v>74</v>
      </c>
      <c r="T414" t="s">
        <v>74</v>
      </c>
      <c r="U414" t="s">
        <v>5732</v>
      </c>
      <c r="V414" t="s">
        <v>5733</v>
      </c>
      <c r="W414" t="s">
        <v>2618</v>
      </c>
      <c r="X414" t="s">
        <v>2619</v>
      </c>
      <c r="Y414" t="s">
        <v>2629</v>
      </c>
      <c r="Z414" t="s">
        <v>74</v>
      </c>
      <c r="AA414" t="s">
        <v>2621</v>
      </c>
      <c r="AB414" t="s">
        <v>2622</v>
      </c>
      <c r="AC414" t="s">
        <v>74</v>
      </c>
      <c r="AD414" t="s">
        <v>74</v>
      </c>
      <c r="AE414" t="s">
        <v>74</v>
      </c>
      <c r="AF414" t="s">
        <v>74</v>
      </c>
      <c r="AG414">
        <v>37</v>
      </c>
      <c r="AH414">
        <v>11</v>
      </c>
      <c r="AI414">
        <v>11</v>
      </c>
      <c r="AJ414">
        <v>0</v>
      </c>
      <c r="AK414">
        <v>3</v>
      </c>
      <c r="AL414" t="s">
        <v>1842</v>
      </c>
      <c r="AM414" t="s">
        <v>1843</v>
      </c>
      <c r="AN414" t="s">
        <v>1844</v>
      </c>
      <c r="AO414" t="s">
        <v>2423</v>
      </c>
      <c r="AP414" t="s">
        <v>74</v>
      </c>
      <c r="AQ414" t="s">
        <v>74</v>
      </c>
      <c r="AR414" t="s">
        <v>2424</v>
      </c>
      <c r="AS414" t="s">
        <v>2425</v>
      </c>
      <c r="AT414" t="s">
        <v>5036</v>
      </c>
      <c r="AU414">
        <v>2000</v>
      </c>
      <c r="AV414">
        <v>30</v>
      </c>
      <c r="AW414">
        <v>12</v>
      </c>
      <c r="AX414" t="s">
        <v>74</v>
      </c>
      <c r="AY414" t="s">
        <v>74</v>
      </c>
      <c r="AZ414" t="s">
        <v>74</v>
      </c>
      <c r="BA414" t="s">
        <v>74</v>
      </c>
      <c r="BB414">
        <v>3102</v>
      </c>
      <c r="BC414">
        <v>3112</v>
      </c>
      <c r="BD414" t="s">
        <v>74</v>
      </c>
      <c r="BE414" t="s">
        <v>5734</v>
      </c>
      <c r="BF414" t="str">
        <f>HYPERLINK("http://dx.doi.org/10.1175/1520-0485(2000)030&lt;3102:VFOPVA&gt;2.0.CO;2","http://dx.doi.org/10.1175/1520-0485(2000)030&lt;3102:VFOPVA&gt;2.0.CO;2")</f>
        <v>http://dx.doi.org/10.1175/1520-0485(2000)030&lt;3102:VFOPVA&gt;2.0.CO;2</v>
      </c>
      <c r="BG414" t="s">
        <v>74</v>
      </c>
      <c r="BH414" t="s">
        <v>74</v>
      </c>
      <c r="BI414">
        <v>11</v>
      </c>
      <c r="BJ414" t="s">
        <v>252</v>
      </c>
      <c r="BK414" t="s">
        <v>94</v>
      </c>
      <c r="BL414" t="s">
        <v>252</v>
      </c>
      <c r="BM414" t="s">
        <v>5728</v>
      </c>
      <c r="BN414" t="s">
        <v>74</v>
      </c>
      <c r="BO414" t="s">
        <v>1850</v>
      </c>
      <c r="BP414" t="s">
        <v>74</v>
      </c>
      <c r="BQ414" t="s">
        <v>74</v>
      </c>
      <c r="BR414" t="s">
        <v>97</v>
      </c>
      <c r="BS414" t="s">
        <v>5735</v>
      </c>
      <c r="BT414" t="str">
        <f>HYPERLINK("https%3A%2F%2Fwww.webofscience.com%2Fwos%2Fwoscc%2Ffull-record%2FWOS:000166037500005","View Full Record in Web of Science")</f>
        <v>View Full Record in Web of Science</v>
      </c>
    </row>
    <row r="415" spans="1:72" x14ac:dyDescent="0.15">
      <c r="A415" t="s">
        <v>72</v>
      </c>
      <c r="B415" t="s">
        <v>5736</v>
      </c>
      <c r="C415" t="s">
        <v>74</v>
      </c>
      <c r="D415" t="s">
        <v>74</v>
      </c>
      <c r="E415" t="s">
        <v>74</v>
      </c>
      <c r="F415" t="s">
        <v>5736</v>
      </c>
      <c r="G415" t="s">
        <v>74</v>
      </c>
      <c r="H415" t="s">
        <v>74</v>
      </c>
      <c r="I415" t="s">
        <v>5737</v>
      </c>
      <c r="J415" t="s">
        <v>2417</v>
      </c>
      <c r="K415" t="s">
        <v>74</v>
      </c>
      <c r="L415" t="s">
        <v>74</v>
      </c>
      <c r="M415" t="s">
        <v>77</v>
      </c>
      <c r="N415" t="s">
        <v>78</v>
      </c>
      <c r="O415" t="s">
        <v>74</v>
      </c>
      <c r="P415" t="s">
        <v>74</v>
      </c>
      <c r="Q415" t="s">
        <v>74</v>
      </c>
      <c r="R415" t="s">
        <v>74</v>
      </c>
      <c r="S415" t="s">
        <v>74</v>
      </c>
      <c r="T415" t="s">
        <v>74</v>
      </c>
      <c r="U415" t="s">
        <v>5738</v>
      </c>
      <c r="V415" t="s">
        <v>5739</v>
      </c>
      <c r="W415" t="s">
        <v>2420</v>
      </c>
      <c r="X415" t="s">
        <v>2421</v>
      </c>
      <c r="Y415" t="s">
        <v>5740</v>
      </c>
      <c r="Z415" t="s">
        <v>74</v>
      </c>
      <c r="AA415" t="s">
        <v>5741</v>
      </c>
      <c r="AB415" t="s">
        <v>74</v>
      </c>
      <c r="AC415" t="s">
        <v>74</v>
      </c>
      <c r="AD415" t="s">
        <v>74</v>
      </c>
      <c r="AE415" t="s">
        <v>74</v>
      </c>
      <c r="AF415" t="s">
        <v>74</v>
      </c>
      <c r="AG415">
        <v>60</v>
      </c>
      <c r="AH415">
        <v>62</v>
      </c>
      <c r="AI415">
        <v>63</v>
      </c>
      <c r="AJ415">
        <v>0</v>
      </c>
      <c r="AK415">
        <v>12</v>
      </c>
      <c r="AL415" t="s">
        <v>1842</v>
      </c>
      <c r="AM415" t="s">
        <v>1843</v>
      </c>
      <c r="AN415" t="s">
        <v>1844</v>
      </c>
      <c r="AO415" t="s">
        <v>2423</v>
      </c>
      <c r="AP415" t="s">
        <v>74</v>
      </c>
      <c r="AQ415" t="s">
        <v>74</v>
      </c>
      <c r="AR415" t="s">
        <v>2424</v>
      </c>
      <c r="AS415" t="s">
        <v>2425</v>
      </c>
      <c r="AT415" t="s">
        <v>5036</v>
      </c>
      <c r="AU415">
        <v>2000</v>
      </c>
      <c r="AV415">
        <v>30</v>
      </c>
      <c r="AW415">
        <v>12</v>
      </c>
      <c r="AX415" t="s">
        <v>74</v>
      </c>
      <c r="AY415" t="s">
        <v>74</v>
      </c>
      <c r="AZ415" t="s">
        <v>74</v>
      </c>
      <c r="BA415" t="s">
        <v>74</v>
      </c>
      <c r="BB415">
        <v>3191</v>
      </c>
      <c r="BC415">
        <v>3211</v>
      </c>
      <c r="BD415" t="s">
        <v>74</v>
      </c>
      <c r="BE415" t="s">
        <v>5742</v>
      </c>
      <c r="BF415" t="str">
        <f>HYPERLINK("http://dx.doi.org/10.1175/1520-0485(2000)030&lt;3191:DOIWCI&gt;2.0.CO;2","http://dx.doi.org/10.1175/1520-0485(2000)030&lt;3191:DOIWCI&gt;2.0.CO;2")</f>
        <v>http://dx.doi.org/10.1175/1520-0485(2000)030&lt;3191:DOIWCI&gt;2.0.CO;2</v>
      </c>
      <c r="BG415" t="s">
        <v>74</v>
      </c>
      <c r="BH415" t="s">
        <v>74</v>
      </c>
      <c r="BI415">
        <v>21</v>
      </c>
      <c r="BJ415" t="s">
        <v>252</v>
      </c>
      <c r="BK415" t="s">
        <v>94</v>
      </c>
      <c r="BL415" t="s">
        <v>252</v>
      </c>
      <c r="BM415" t="s">
        <v>5728</v>
      </c>
      <c r="BN415" t="s">
        <v>74</v>
      </c>
      <c r="BO415" t="s">
        <v>2451</v>
      </c>
      <c r="BP415" t="s">
        <v>74</v>
      </c>
      <c r="BQ415" t="s">
        <v>74</v>
      </c>
      <c r="BR415" t="s">
        <v>97</v>
      </c>
      <c r="BS415" t="s">
        <v>5743</v>
      </c>
      <c r="BT415" t="str">
        <f>HYPERLINK("https%3A%2F%2Fwww.webofscience.com%2Fwos%2Fwoscc%2Ffull-record%2FWOS:000166037500011","View Full Record in Web of Science")</f>
        <v>View Full Record in Web of Science</v>
      </c>
    </row>
    <row r="416" spans="1:72" x14ac:dyDescent="0.15">
      <c r="A416" t="s">
        <v>72</v>
      </c>
      <c r="B416" t="s">
        <v>5744</v>
      </c>
      <c r="C416" t="s">
        <v>74</v>
      </c>
      <c r="D416" t="s">
        <v>74</v>
      </c>
      <c r="E416" t="s">
        <v>74</v>
      </c>
      <c r="F416" t="s">
        <v>5744</v>
      </c>
      <c r="G416" t="s">
        <v>74</v>
      </c>
      <c r="H416" t="s">
        <v>74</v>
      </c>
      <c r="I416" t="s">
        <v>5745</v>
      </c>
      <c r="J416" t="s">
        <v>2417</v>
      </c>
      <c r="K416" t="s">
        <v>74</v>
      </c>
      <c r="L416" t="s">
        <v>74</v>
      </c>
      <c r="M416" t="s">
        <v>77</v>
      </c>
      <c r="N416" t="s">
        <v>78</v>
      </c>
      <c r="O416" t="s">
        <v>74</v>
      </c>
      <c r="P416" t="s">
        <v>74</v>
      </c>
      <c r="Q416" t="s">
        <v>74</v>
      </c>
      <c r="R416" t="s">
        <v>74</v>
      </c>
      <c r="S416" t="s">
        <v>74</v>
      </c>
      <c r="T416" t="s">
        <v>74</v>
      </c>
      <c r="U416" t="s">
        <v>5746</v>
      </c>
      <c r="V416" t="s">
        <v>5747</v>
      </c>
      <c r="W416" t="s">
        <v>5748</v>
      </c>
      <c r="X416" t="s">
        <v>5749</v>
      </c>
      <c r="Y416" t="s">
        <v>5750</v>
      </c>
      <c r="Z416" t="s">
        <v>74</v>
      </c>
      <c r="AA416" t="s">
        <v>2500</v>
      </c>
      <c r="AB416" t="s">
        <v>2501</v>
      </c>
      <c r="AC416" t="s">
        <v>74</v>
      </c>
      <c r="AD416" t="s">
        <v>74</v>
      </c>
      <c r="AE416" t="s">
        <v>74</v>
      </c>
      <c r="AF416" t="s">
        <v>74</v>
      </c>
      <c r="AG416">
        <v>41</v>
      </c>
      <c r="AH416">
        <v>278</v>
      </c>
      <c r="AI416">
        <v>295</v>
      </c>
      <c r="AJ416">
        <v>4</v>
      </c>
      <c r="AK416">
        <v>45</v>
      </c>
      <c r="AL416" t="s">
        <v>1842</v>
      </c>
      <c r="AM416" t="s">
        <v>1843</v>
      </c>
      <c r="AN416" t="s">
        <v>1844</v>
      </c>
      <c r="AO416" t="s">
        <v>2423</v>
      </c>
      <c r="AP416" t="s">
        <v>74</v>
      </c>
      <c r="AQ416" t="s">
        <v>74</v>
      </c>
      <c r="AR416" t="s">
        <v>2424</v>
      </c>
      <c r="AS416" t="s">
        <v>2425</v>
      </c>
      <c r="AT416" t="s">
        <v>5036</v>
      </c>
      <c r="AU416">
        <v>2000</v>
      </c>
      <c r="AV416">
        <v>30</v>
      </c>
      <c r="AW416">
        <v>12</v>
      </c>
      <c r="AX416" t="s">
        <v>74</v>
      </c>
      <c r="AY416" t="s">
        <v>74</v>
      </c>
      <c r="AZ416" t="s">
        <v>74</v>
      </c>
      <c r="BA416" t="s">
        <v>74</v>
      </c>
      <c r="BB416">
        <v>3212</v>
      </c>
      <c r="BC416">
        <v>3222</v>
      </c>
      <c r="BD416" t="s">
        <v>74</v>
      </c>
      <c r="BE416" t="s">
        <v>5751</v>
      </c>
      <c r="BF416" t="str">
        <f>HYPERLINK("http://dx.doi.org/10.1175/1520-0485(2000)030&lt;3212:TDDC&gt;2.0.CO;2","http://dx.doi.org/10.1175/1520-0485(2000)030&lt;3212:TDDC&gt;2.0.CO;2")</f>
        <v>http://dx.doi.org/10.1175/1520-0485(2000)030&lt;3212:TDDC&gt;2.0.CO;2</v>
      </c>
      <c r="BG416" t="s">
        <v>74</v>
      </c>
      <c r="BH416" t="s">
        <v>74</v>
      </c>
      <c r="BI416">
        <v>11</v>
      </c>
      <c r="BJ416" t="s">
        <v>252</v>
      </c>
      <c r="BK416" t="s">
        <v>94</v>
      </c>
      <c r="BL416" t="s">
        <v>252</v>
      </c>
      <c r="BM416" t="s">
        <v>5728</v>
      </c>
      <c r="BN416" t="s">
        <v>74</v>
      </c>
      <c r="BO416" t="s">
        <v>1850</v>
      </c>
      <c r="BP416" t="s">
        <v>74</v>
      </c>
      <c r="BQ416" t="s">
        <v>74</v>
      </c>
      <c r="BR416" t="s">
        <v>97</v>
      </c>
      <c r="BS416" t="s">
        <v>5752</v>
      </c>
      <c r="BT416" t="str">
        <f>HYPERLINK("https%3A%2F%2Fwww.webofscience.com%2Fwos%2Fwoscc%2Ffull-record%2FWOS:000166037500012","View Full Record in Web of Science")</f>
        <v>View Full Record in Web of Science</v>
      </c>
    </row>
    <row r="417" spans="1:72" x14ac:dyDescent="0.15">
      <c r="A417" t="s">
        <v>72</v>
      </c>
      <c r="B417" t="s">
        <v>5753</v>
      </c>
      <c r="C417" t="s">
        <v>74</v>
      </c>
      <c r="D417" t="s">
        <v>74</v>
      </c>
      <c r="E417" t="s">
        <v>74</v>
      </c>
      <c r="F417" t="s">
        <v>5753</v>
      </c>
      <c r="G417" t="s">
        <v>74</v>
      </c>
      <c r="H417" t="s">
        <v>74</v>
      </c>
      <c r="I417" t="s">
        <v>5754</v>
      </c>
      <c r="J417" t="s">
        <v>5755</v>
      </c>
      <c r="K417" t="s">
        <v>74</v>
      </c>
      <c r="L417" t="s">
        <v>74</v>
      </c>
      <c r="M417" t="s">
        <v>77</v>
      </c>
      <c r="N417" t="s">
        <v>78</v>
      </c>
      <c r="O417" t="s">
        <v>74</v>
      </c>
      <c r="P417" t="s">
        <v>74</v>
      </c>
      <c r="Q417" t="s">
        <v>74</v>
      </c>
      <c r="R417" t="s">
        <v>74</v>
      </c>
      <c r="S417" t="s">
        <v>74</v>
      </c>
      <c r="T417" t="s">
        <v>5756</v>
      </c>
      <c r="U417" t="s">
        <v>5757</v>
      </c>
      <c r="V417" t="s">
        <v>5758</v>
      </c>
      <c r="W417" t="s">
        <v>5759</v>
      </c>
      <c r="X417" t="s">
        <v>5760</v>
      </c>
      <c r="Y417" t="s">
        <v>5761</v>
      </c>
      <c r="Z417" t="s">
        <v>5762</v>
      </c>
      <c r="AA417" t="s">
        <v>74</v>
      </c>
      <c r="AB417" t="s">
        <v>74</v>
      </c>
      <c r="AC417" t="s">
        <v>74</v>
      </c>
      <c r="AD417" t="s">
        <v>74</v>
      </c>
      <c r="AE417" t="s">
        <v>74</v>
      </c>
      <c r="AF417" t="s">
        <v>74</v>
      </c>
      <c r="AG417">
        <v>46</v>
      </c>
      <c r="AH417">
        <v>7</v>
      </c>
      <c r="AI417">
        <v>7</v>
      </c>
      <c r="AJ417">
        <v>1</v>
      </c>
      <c r="AK417">
        <v>5</v>
      </c>
      <c r="AL417" t="s">
        <v>245</v>
      </c>
      <c r="AM417" t="s">
        <v>246</v>
      </c>
      <c r="AN417" t="s">
        <v>247</v>
      </c>
      <c r="AO417" t="s">
        <v>5763</v>
      </c>
      <c r="AP417" t="s">
        <v>74</v>
      </c>
      <c r="AQ417" t="s">
        <v>74</v>
      </c>
      <c r="AR417" t="s">
        <v>5764</v>
      </c>
      <c r="AS417" t="s">
        <v>5765</v>
      </c>
      <c r="AT417" t="s">
        <v>5036</v>
      </c>
      <c r="AU417">
        <v>2000</v>
      </c>
      <c r="AV417">
        <v>13</v>
      </c>
      <c r="AW417">
        <v>8</v>
      </c>
      <c r="AX417" t="s">
        <v>74</v>
      </c>
      <c r="AY417" t="s">
        <v>74</v>
      </c>
      <c r="AZ417" t="s">
        <v>74</v>
      </c>
      <c r="BA417" t="s">
        <v>74</v>
      </c>
      <c r="BB417">
        <v>775</v>
      </c>
      <c r="BC417">
        <v>784</v>
      </c>
      <c r="BD417" t="s">
        <v>74</v>
      </c>
      <c r="BE417" t="s">
        <v>5766</v>
      </c>
      <c r="BF417" t="str">
        <f>HYPERLINK("http://dx.doi.org/10.1016/S0895-9811(00)00059-6","http://dx.doi.org/10.1016/S0895-9811(00)00059-6")</f>
        <v>http://dx.doi.org/10.1016/S0895-9811(00)00059-6</v>
      </c>
      <c r="BG417" t="s">
        <v>74</v>
      </c>
      <c r="BH417" t="s">
        <v>74</v>
      </c>
      <c r="BI417">
        <v>10</v>
      </c>
      <c r="BJ417" t="s">
        <v>595</v>
      </c>
      <c r="BK417" t="s">
        <v>94</v>
      </c>
      <c r="BL417" t="s">
        <v>597</v>
      </c>
      <c r="BM417" t="s">
        <v>5767</v>
      </c>
      <c r="BN417" t="s">
        <v>74</v>
      </c>
      <c r="BO417" t="s">
        <v>1755</v>
      </c>
      <c r="BP417" t="s">
        <v>74</v>
      </c>
      <c r="BQ417" t="s">
        <v>74</v>
      </c>
      <c r="BR417" t="s">
        <v>97</v>
      </c>
      <c r="BS417" t="s">
        <v>5768</v>
      </c>
      <c r="BT417" t="str">
        <f>HYPERLINK("https%3A%2F%2Fwww.webofscience.com%2Fwos%2Fwoscc%2Ffull-record%2FWOS:000166945000006","View Full Record in Web of Science")</f>
        <v>View Full Record in Web of Science</v>
      </c>
    </row>
    <row r="418" spans="1:72" x14ac:dyDescent="0.15">
      <c r="A418" t="s">
        <v>72</v>
      </c>
      <c r="B418" t="s">
        <v>5769</v>
      </c>
      <c r="C418" t="s">
        <v>74</v>
      </c>
      <c r="D418" t="s">
        <v>74</v>
      </c>
      <c r="E418" t="s">
        <v>74</v>
      </c>
      <c r="F418" t="s">
        <v>5769</v>
      </c>
      <c r="G418" t="s">
        <v>74</v>
      </c>
      <c r="H418" t="s">
        <v>74</v>
      </c>
      <c r="I418" t="s">
        <v>5770</v>
      </c>
      <c r="J418" t="s">
        <v>2768</v>
      </c>
      <c r="K418" t="s">
        <v>74</v>
      </c>
      <c r="L418" t="s">
        <v>74</v>
      </c>
      <c r="M418" t="s">
        <v>77</v>
      </c>
      <c r="N418" t="s">
        <v>78</v>
      </c>
      <c r="O418" t="s">
        <v>74</v>
      </c>
      <c r="P418" t="s">
        <v>74</v>
      </c>
      <c r="Q418" t="s">
        <v>74</v>
      </c>
      <c r="R418" t="s">
        <v>74</v>
      </c>
      <c r="S418" t="s">
        <v>74</v>
      </c>
      <c r="T418" t="s">
        <v>74</v>
      </c>
      <c r="U418" t="s">
        <v>5771</v>
      </c>
      <c r="V418" t="s">
        <v>5772</v>
      </c>
      <c r="W418" t="s">
        <v>240</v>
      </c>
      <c r="X418" t="s">
        <v>241</v>
      </c>
      <c r="Y418" t="s">
        <v>1312</v>
      </c>
      <c r="Z418" t="s">
        <v>1313</v>
      </c>
      <c r="AA418" t="s">
        <v>74</v>
      </c>
      <c r="AB418" t="s">
        <v>74</v>
      </c>
      <c r="AC418" t="s">
        <v>74</v>
      </c>
      <c r="AD418" t="s">
        <v>74</v>
      </c>
      <c r="AE418" t="s">
        <v>74</v>
      </c>
      <c r="AF418" t="s">
        <v>74</v>
      </c>
      <c r="AG418">
        <v>86</v>
      </c>
      <c r="AH418">
        <v>11</v>
      </c>
      <c r="AI418">
        <v>12</v>
      </c>
      <c r="AJ418">
        <v>0</v>
      </c>
      <c r="AK418">
        <v>14</v>
      </c>
      <c r="AL418" t="s">
        <v>776</v>
      </c>
      <c r="AM418" t="s">
        <v>777</v>
      </c>
      <c r="AN418" t="s">
        <v>778</v>
      </c>
      <c r="AO418" t="s">
        <v>2772</v>
      </c>
      <c r="AP418" t="s">
        <v>2773</v>
      </c>
      <c r="AQ418" t="s">
        <v>74</v>
      </c>
      <c r="AR418" t="s">
        <v>2774</v>
      </c>
      <c r="AS418" t="s">
        <v>2775</v>
      </c>
      <c r="AT418" t="s">
        <v>5036</v>
      </c>
      <c r="AU418">
        <v>2000</v>
      </c>
      <c r="AV418">
        <v>137</v>
      </c>
      <c r="AW418" t="s">
        <v>3269</v>
      </c>
      <c r="AX418" t="s">
        <v>74</v>
      </c>
      <c r="AY418" t="s">
        <v>74</v>
      </c>
      <c r="AZ418" t="s">
        <v>74</v>
      </c>
      <c r="BA418" t="s">
        <v>74</v>
      </c>
      <c r="BB418">
        <v>1091</v>
      </c>
      <c r="BC418">
        <v>1104</v>
      </c>
      <c r="BD418" t="s">
        <v>74</v>
      </c>
      <c r="BE418" t="s">
        <v>5773</v>
      </c>
      <c r="BF418" t="str">
        <f>HYPERLINK("http://dx.doi.org/10.1007/s002270000428","http://dx.doi.org/10.1007/s002270000428")</f>
        <v>http://dx.doi.org/10.1007/s002270000428</v>
      </c>
      <c r="BG418" t="s">
        <v>74</v>
      </c>
      <c r="BH418" t="s">
        <v>74</v>
      </c>
      <c r="BI418">
        <v>14</v>
      </c>
      <c r="BJ418" t="s">
        <v>1259</v>
      </c>
      <c r="BK418" t="s">
        <v>94</v>
      </c>
      <c r="BL418" t="s">
        <v>1259</v>
      </c>
      <c r="BM418" t="s">
        <v>5774</v>
      </c>
      <c r="BN418" t="s">
        <v>74</v>
      </c>
      <c r="BO418" t="s">
        <v>74</v>
      </c>
      <c r="BP418" t="s">
        <v>74</v>
      </c>
      <c r="BQ418" t="s">
        <v>74</v>
      </c>
      <c r="BR418" t="s">
        <v>97</v>
      </c>
      <c r="BS418" t="s">
        <v>5775</v>
      </c>
      <c r="BT418" t="str">
        <f>HYPERLINK("https%3A%2F%2Fwww.webofscience.com%2Fwos%2Fwoscc%2Ffull-record%2FWOS:000166005800036","View Full Record in Web of Science")</f>
        <v>View Full Record in Web of Science</v>
      </c>
    </row>
    <row r="419" spans="1:72" x14ac:dyDescent="0.15">
      <c r="A419" t="s">
        <v>72</v>
      </c>
      <c r="B419" t="s">
        <v>5776</v>
      </c>
      <c r="C419" t="s">
        <v>74</v>
      </c>
      <c r="D419" t="s">
        <v>74</v>
      </c>
      <c r="E419" t="s">
        <v>74</v>
      </c>
      <c r="F419" t="s">
        <v>5776</v>
      </c>
      <c r="G419" t="s">
        <v>74</v>
      </c>
      <c r="H419" t="s">
        <v>74</v>
      </c>
      <c r="I419" t="s">
        <v>5777</v>
      </c>
      <c r="J419" t="s">
        <v>2781</v>
      </c>
      <c r="K419" t="s">
        <v>74</v>
      </c>
      <c r="L419" t="s">
        <v>74</v>
      </c>
      <c r="M419" t="s">
        <v>77</v>
      </c>
      <c r="N419" t="s">
        <v>576</v>
      </c>
      <c r="O419" t="s">
        <v>5778</v>
      </c>
      <c r="P419" t="s">
        <v>5779</v>
      </c>
      <c r="Q419" t="s">
        <v>5780</v>
      </c>
      <c r="R419" t="s">
        <v>74</v>
      </c>
      <c r="S419" t="s">
        <v>5781</v>
      </c>
      <c r="T419" t="s">
        <v>5782</v>
      </c>
      <c r="U419" t="s">
        <v>5783</v>
      </c>
      <c r="V419" t="s">
        <v>5784</v>
      </c>
      <c r="W419" t="s">
        <v>5785</v>
      </c>
      <c r="X419" t="s">
        <v>5786</v>
      </c>
      <c r="Y419" t="s">
        <v>5787</v>
      </c>
      <c r="Z419" t="s">
        <v>74</v>
      </c>
      <c r="AA419" t="s">
        <v>5788</v>
      </c>
      <c r="AB419" t="s">
        <v>5789</v>
      </c>
      <c r="AC419" t="s">
        <v>74</v>
      </c>
      <c r="AD419" t="s">
        <v>74</v>
      </c>
      <c r="AE419" t="s">
        <v>74</v>
      </c>
      <c r="AF419" t="s">
        <v>74</v>
      </c>
      <c r="AG419">
        <v>45</v>
      </c>
      <c r="AH419">
        <v>20</v>
      </c>
      <c r="AI419">
        <v>31</v>
      </c>
      <c r="AJ419">
        <v>0</v>
      </c>
      <c r="AK419">
        <v>3</v>
      </c>
      <c r="AL419" t="s">
        <v>1120</v>
      </c>
      <c r="AM419" t="s">
        <v>1121</v>
      </c>
      <c r="AN419" t="s">
        <v>2394</v>
      </c>
      <c r="AO419" t="s">
        <v>2790</v>
      </c>
      <c r="AP419" t="s">
        <v>74</v>
      </c>
      <c r="AQ419" t="s">
        <v>74</v>
      </c>
      <c r="AR419" t="s">
        <v>2792</v>
      </c>
      <c r="AS419" t="s">
        <v>2793</v>
      </c>
      <c r="AT419" t="s">
        <v>5036</v>
      </c>
      <c r="AU419">
        <v>2000</v>
      </c>
      <c r="AV419">
        <v>72</v>
      </c>
      <c r="AW419" t="s">
        <v>5790</v>
      </c>
      <c r="AX419" t="s">
        <v>74</v>
      </c>
      <c r="AY419" t="s">
        <v>74</v>
      </c>
      <c r="AZ419" t="s">
        <v>74</v>
      </c>
      <c r="BA419" t="s">
        <v>74</v>
      </c>
      <c r="BB419">
        <v>103</v>
      </c>
      <c r="BC419">
        <v>114</v>
      </c>
      <c r="BD419" t="s">
        <v>74</v>
      </c>
      <c r="BE419" t="s">
        <v>5791</v>
      </c>
      <c r="BF419" t="str">
        <f>HYPERLINK("http://dx.doi.org/10.1016/S0304-4203(00)00076-1","http://dx.doi.org/10.1016/S0304-4203(00)00076-1")</f>
        <v>http://dx.doi.org/10.1016/S0304-4203(00)00076-1</v>
      </c>
      <c r="BG419" t="s">
        <v>74</v>
      </c>
      <c r="BH419" t="s">
        <v>74</v>
      </c>
      <c r="BI419">
        <v>12</v>
      </c>
      <c r="BJ419" t="s">
        <v>2795</v>
      </c>
      <c r="BK419" t="s">
        <v>596</v>
      </c>
      <c r="BL419" t="s">
        <v>2796</v>
      </c>
      <c r="BM419" t="s">
        <v>5792</v>
      </c>
      <c r="BN419" t="s">
        <v>74</v>
      </c>
      <c r="BO419" t="s">
        <v>74</v>
      </c>
      <c r="BP419" t="s">
        <v>74</v>
      </c>
      <c r="BQ419" t="s">
        <v>74</v>
      </c>
      <c r="BR419" t="s">
        <v>97</v>
      </c>
      <c r="BS419" t="s">
        <v>5793</v>
      </c>
      <c r="BT419" t="str">
        <f>HYPERLINK("https%3A%2F%2Fwww.webofscience.com%2Fwos%2Fwoscc%2Ffull-record%2FWOS:000165740400004","View Full Record in Web of Science")</f>
        <v>View Full Record in Web of Science</v>
      </c>
    </row>
    <row r="420" spans="1:72" x14ac:dyDescent="0.15">
      <c r="A420" t="s">
        <v>72</v>
      </c>
      <c r="B420" t="s">
        <v>5794</v>
      </c>
      <c r="C420" t="s">
        <v>74</v>
      </c>
      <c r="D420" t="s">
        <v>74</v>
      </c>
      <c r="E420" t="s">
        <v>74</v>
      </c>
      <c r="F420" t="s">
        <v>5794</v>
      </c>
      <c r="G420" t="s">
        <v>74</v>
      </c>
      <c r="H420" t="s">
        <v>74</v>
      </c>
      <c r="I420" t="s">
        <v>5795</v>
      </c>
      <c r="J420" t="s">
        <v>2781</v>
      </c>
      <c r="K420" t="s">
        <v>74</v>
      </c>
      <c r="L420" t="s">
        <v>74</v>
      </c>
      <c r="M420" t="s">
        <v>77</v>
      </c>
      <c r="N420" t="s">
        <v>576</v>
      </c>
      <c r="O420" t="s">
        <v>5778</v>
      </c>
      <c r="P420" t="s">
        <v>5779</v>
      </c>
      <c r="Q420" t="s">
        <v>5780</v>
      </c>
      <c r="R420" t="s">
        <v>74</v>
      </c>
      <c r="S420" t="s">
        <v>5781</v>
      </c>
      <c r="T420" t="s">
        <v>5796</v>
      </c>
      <c r="U420" t="s">
        <v>5797</v>
      </c>
      <c r="V420" t="s">
        <v>5798</v>
      </c>
      <c r="W420" t="s">
        <v>5799</v>
      </c>
      <c r="X420" t="s">
        <v>5800</v>
      </c>
      <c r="Y420" t="s">
        <v>5801</v>
      </c>
      <c r="Z420" t="s">
        <v>74</v>
      </c>
      <c r="AA420" t="s">
        <v>5802</v>
      </c>
      <c r="AB420" t="s">
        <v>5803</v>
      </c>
      <c r="AC420" t="s">
        <v>74</v>
      </c>
      <c r="AD420" t="s">
        <v>74</v>
      </c>
      <c r="AE420" t="s">
        <v>74</v>
      </c>
      <c r="AF420" t="s">
        <v>74</v>
      </c>
      <c r="AG420">
        <v>32</v>
      </c>
      <c r="AH420">
        <v>55</v>
      </c>
      <c r="AI420">
        <v>62</v>
      </c>
      <c r="AJ420">
        <v>0</v>
      </c>
      <c r="AK420">
        <v>16</v>
      </c>
      <c r="AL420" t="s">
        <v>1120</v>
      </c>
      <c r="AM420" t="s">
        <v>1121</v>
      </c>
      <c r="AN420" t="s">
        <v>2394</v>
      </c>
      <c r="AO420" t="s">
        <v>2790</v>
      </c>
      <c r="AP420" t="s">
        <v>74</v>
      </c>
      <c r="AQ420" t="s">
        <v>74</v>
      </c>
      <c r="AR420" t="s">
        <v>2792</v>
      </c>
      <c r="AS420" t="s">
        <v>2793</v>
      </c>
      <c r="AT420" t="s">
        <v>5036</v>
      </c>
      <c r="AU420">
        <v>2000</v>
      </c>
      <c r="AV420">
        <v>72</v>
      </c>
      <c r="AW420" t="s">
        <v>5790</v>
      </c>
      <c r="AX420" t="s">
        <v>74</v>
      </c>
      <c r="AY420" t="s">
        <v>74</v>
      </c>
      <c r="AZ420" t="s">
        <v>74</v>
      </c>
      <c r="BA420" t="s">
        <v>74</v>
      </c>
      <c r="BB420">
        <v>171</v>
      </c>
      <c r="BC420">
        <v>192</v>
      </c>
      <c r="BD420" t="s">
        <v>74</v>
      </c>
      <c r="BE420" t="s">
        <v>5804</v>
      </c>
      <c r="BF420" t="str">
        <f>HYPERLINK("http://dx.doi.org/10.1016/S0304-4203(00)00080-3","http://dx.doi.org/10.1016/S0304-4203(00)00080-3")</f>
        <v>http://dx.doi.org/10.1016/S0304-4203(00)00080-3</v>
      </c>
      <c r="BG420" t="s">
        <v>74</v>
      </c>
      <c r="BH420" t="s">
        <v>74</v>
      </c>
      <c r="BI420">
        <v>22</v>
      </c>
      <c r="BJ420" t="s">
        <v>2795</v>
      </c>
      <c r="BK420" t="s">
        <v>596</v>
      </c>
      <c r="BL420" t="s">
        <v>2796</v>
      </c>
      <c r="BM420" t="s">
        <v>5792</v>
      </c>
      <c r="BN420" t="s">
        <v>74</v>
      </c>
      <c r="BO420" t="s">
        <v>74</v>
      </c>
      <c r="BP420" t="s">
        <v>74</v>
      </c>
      <c r="BQ420" t="s">
        <v>74</v>
      </c>
      <c r="BR420" t="s">
        <v>97</v>
      </c>
      <c r="BS420" t="s">
        <v>5805</v>
      </c>
      <c r="BT420" t="str">
        <f>HYPERLINK("https%3A%2F%2Fwww.webofscience.com%2Fwos%2Fwoscc%2Ffull-record%2FWOS:000165740400008","View Full Record in Web of Science")</f>
        <v>View Full Record in Web of Science</v>
      </c>
    </row>
    <row r="421" spans="1:72" x14ac:dyDescent="0.15">
      <c r="A421" t="s">
        <v>72</v>
      </c>
      <c r="B421" t="s">
        <v>5806</v>
      </c>
      <c r="C421" t="s">
        <v>74</v>
      </c>
      <c r="D421" t="s">
        <v>74</v>
      </c>
      <c r="E421" t="s">
        <v>74</v>
      </c>
      <c r="F421" t="s">
        <v>5806</v>
      </c>
      <c r="G421" t="s">
        <v>74</v>
      </c>
      <c r="H421" t="s">
        <v>74</v>
      </c>
      <c r="I421" t="s">
        <v>5807</v>
      </c>
      <c r="J421" t="s">
        <v>2781</v>
      </c>
      <c r="K421" t="s">
        <v>74</v>
      </c>
      <c r="L421" t="s">
        <v>74</v>
      </c>
      <c r="M421" t="s">
        <v>77</v>
      </c>
      <c r="N421" t="s">
        <v>576</v>
      </c>
      <c r="O421" t="s">
        <v>5778</v>
      </c>
      <c r="P421" t="s">
        <v>5779</v>
      </c>
      <c r="Q421" t="s">
        <v>5780</v>
      </c>
      <c r="R421" t="s">
        <v>74</v>
      </c>
      <c r="S421" t="s">
        <v>5781</v>
      </c>
      <c r="T421" t="s">
        <v>5808</v>
      </c>
      <c r="U421" t="s">
        <v>5809</v>
      </c>
      <c r="V421" t="s">
        <v>5810</v>
      </c>
      <c r="W421" t="s">
        <v>5811</v>
      </c>
      <c r="X421" t="s">
        <v>5812</v>
      </c>
      <c r="Y421" t="s">
        <v>5787</v>
      </c>
      <c r="Z421" t="s">
        <v>74</v>
      </c>
      <c r="AA421" t="s">
        <v>5788</v>
      </c>
      <c r="AB421" t="s">
        <v>5789</v>
      </c>
      <c r="AC421" t="s">
        <v>74</v>
      </c>
      <c r="AD421" t="s">
        <v>74</v>
      </c>
      <c r="AE421" t="s">
        <v>74</v>
      </c>
      <c r="AF421" t="s">
        <v>74</v>
      </c>
      <c r="AG421">
        <v>41</v>
      </c>
      <c r="AH421">
        <v>28</v>
      </c>
      <c r="AI421">
        <v>30</v>
      </c>
      <c r="AJ421">
        <v>0</v>
      </c>
      <c r="AK421">
        <v>7</v>
      </c>
      <c r="AL421" t="s">
        <v>1120</v>
      </c>
      <c r="AM421" t="s">
        <v>1121</v>
      </c>
      <c r="AN421" t="s">
        <v>2394</v>
      </c>
      <c r="AO421" t="s">
        <v>2790</v>
      </c>
      <c r="AP421" t="s">
        <v>74</v>
      </c>
      <c r="AQ421" t="s">
        <v>74</v>
      </c>
      <c r="AR421" t="s">
        <v>2792</v>
      </c>
      <c r="AS421" t="s">
        <v>2793</v>
      </c>
      <c r="AT421" t="s">
        <v>5036</v>
      </c>
      <c r="AU421">
        <v>2000</v>
      </c>
      <c r="AV421">
        <v>72</v>
      </c>
      <c r="AW421" t="s">
        <v>5790</v>
      </c>
      <c r="AX421" t="s">
        <v>74</v>
      </c>
      <c r="AY421" t="s">
        <v>74</v>
      </c>
      <c r="AZ421" t="s">
        <v>74</v>
      </c>
      <c r="BA421" t="s">
        <v>74</v>
      </c>
      <c r="BB421">
        <v>203</v>
      </c>
      <c r="BC421">
        <v>220</v>
      </c>
      <c r="BD421" t="s">
        <v>74</v>
      </c>
      <c r="BE421" t="s">
        <v>5813</v>
      </c>
      <c r="BF421" t="str">
        <f>HYPERLINK("http://dx.doi.org/10.1016/S0304-4203(00)00082-7","http://dx.doi.org/10.1016/S0304-4203(00)00082-7")</f>
        <v>http://dx.doi.org/10.1016/S0304-4203(00)00082-7</v>
      </c>
      <c r="BG421" t="s">
        <v>74</v>
      </c>
      <c r="BH421" t="s">
        <v>74</v>
      </c>
      <c r="BI421">
        <v>18</v>
      </c>
      <c r="BJ421" t="s">
        <v>2795</v>
      </c>
      <c r="BK421" t="s">
        <v>596</v>
      </c>
      <c r="BL421" t="s">
        <v>2796</v>
      </c>
      <c r="BM421" t="s">
        <v>5792</v>
      </c>
      <c r="BN421" t="s">
        <v>74</v>
      </c>
      <c r="BO421" t="s">
        <v>74</v>
      </c>
      <c r="BP421" t="s">
        <v>74</v>
      </c>
      <c r="BQ421" t="s">
        <v>74</v>
      </c>
      <c r="BR421" t="s">
        <v>97</v>
      </c>
      <c r="BS421" t="s">
        <v>5814</v>
      </c>
      <c r="BT421" t="str">
        <f>HYPERLINK("https%3A%2F%2Fwww.webofscience.com%2Fwos%2Fwoscc%2Ffull-record%2FWOS:000165740400010","View Full Record in Web of Science")</f>
        <v>View Full Record in Web of Science</v>
      </c>
    </row>
    <row r="422" spans="1:72" x14ac:dyDescent="0.15">
      <c r="A422" t="s">
        <v>72</v>
      </c>
      <c r="B422" t="s">
        <v>5815</v>
      </c>
      <c r="C422" t="s">
        <v>74</v>
      </c>
      <c r="D422" t="s">
        <v>74</v>
      </c>
      <c r="E422" t="s">
        <v>74</v>
      </c>
      <c r="F422" t="s">
        <v>5815</v>
      </c>
      <c r="G422" t="s">
        <v>74</v>
      </c>
      <c r="H422" t="s">
        <v>74</v>
      </c>
      <c r="I422" t="s">
        <v>5816</v>
      </c>
      <c r="J422" t="s">
        <v>5817</v>
      </c>
      <c r="K422" t="s">
        <v>74</v>
      </c>
      <c r="L422" t="s">
        <v>74</v>
      </c>
      <c r="M422" t="s">
        <v>77</v>
      </c>
      <c r="N422" t="s">
        <v>78</v>
      </c>
      <c r="O422" t="s">
        <v>74</v>
      </c>
      <c r="P422" t="s">
        <v>74</v>
      </c>
      <c r="Q422" t="s">
        <v>74</v>
      </c>
      <c r="R422" t="s">
        <v>74</v>
      </c>
      <c r="S422" t="s">
        <v>74</v>
      </c>
      <c r="T422" t="s">
        <v>5818</v>
      </c>
      <c r="U422" t="s">
        <v>5819</v>
      </c>
      <c r="V422" t="s">
        <v>5820</v>
      </c>
      <c r="W422" t="s">
        <v>5821</v>
      </c>
      <c r="X422" t="s">
        <v>5822</v>
      </c>
      <c r="Y422" t="s">
        <v>5823</v>
      </c>
      <c r="Z422" t="s">
        <v>5824</v>
      </c>
      <c r="AA422" t="s">
        <v>5825</v>
      </c>
      <c r="AB422" t="s">
        <v>5826</v>
      </c>
      <c r="AC422" t="s">
        <v>74</v>
      </c>
      <c r="AD422" t="s">
        <v>74</v>
      </c>
      <c r="AE422" t="s">
        <v>74</v>
      </c>
      <c r="AF422" t="s">
        <v>74</v>
      </c>
      <c r="AG422">
        <v>56</v>
      </c>
      <c r="AH422">
        <v>29</v>
      </c>
      <c r="AI422">
        <v>32</v>
      </c>
      <c r="AJ422">
        <v>1</v>
      </c>
      <c r="AK422">
        <v>11</v>
      </c>
      <c r="AL422" t="s">
        <v>1823</v>
      </c>
      <c r="AM422" t="s">
        <v>1121</v>
      </c>
      <c r="AN422" t="s">
        <v>1824</v>
      </c>
      <c r="AO422" t="s">
        <v>5827</v>
      </c>
      <c r="AP422" t="s">
        <v>5828</v>
      </c>
      <c r="AQ422" t="s">
        <v>74</v>
      </c>
      <c r="AR422" t="s">
        <v>5829</v>
      </c>
      <c r="AS422" t="s">
        <v>5830</v>
      </c>
      <c r="AT422" t="s">
        <v>5036</v>
      </c>
      <c r="AU422">
        <v>2000</v>
      </c>
      <c r="AV422">
        <v>40</v>
      </c>
      <c r="AW422">
        <v>4</v>
      </c>
      <c r="AX422" t="s">
        <v>74</v>
      </c>
      <c r="AY422" t="s">
        <v>74</v>
      </c>
      <c r="AZ422" t="s">
        <v>74</v>
      </c>
      <c r="BA422" t="s">
        <v>74</v>
      </c>
      <c r="BB422">
        <v>403</v>
      </c>
      <c r="BC422">
        <v>416</v>
      </c>
      <c r="BD422" t="s">
        <v>74</v>
      </c>
      <c r="BE422" t="s">
        <v>5831</v>
      </c>
      <c r="BF422" t="str">
        <f>HYPERLINK("http://dx.doi.org/10.1016/S0377-8398(00)00045-1","http://dx.doi.org/10.1016/S0377-8398(00)00045-1")</f>
        <v>http://dx.doi.org/10.1016/S0377-8398(00)00045-1</v>
      </c>
      <c r="BG422" t="s">
        <v>74</v>
      </c>
      <c r="BH422" t="s">
        <v>74</v>
      </c>
      <c r="BI422">
        <v>14</v>
      </c>
      <c r="BJ422" t="s">
        <v>3424</v>
      </c>
      <c r="BK422" t="s">
        <v>94</v>
      </c>
      <c r="BL422" t="s">
        <v>3424</v>
      </c>
      <c r="BM422" t="s">
        <v>5832</v>
      </c>
      <c r="BN422" t="s">
        <v>74</v>
      </c>
      <c r="BO422" t="s">
        <v>74</v>
      </c>
      <c r="BP422" t="s">
        <v>74</v>
      </c>
      <c r="BQ422" t="s">
        <v>74</v>
      </c>
      <c r="BR422" t="s">
        <v>97</v>
      </c>
      <c r="BS422" t="s">
        <v>5833</v>
      </c>
      <c r="BT422" t="str">
        <f>HYPERLINK("https%3A%2F%2Fwww.webofscience.com%2Fwos%2Fwoscc%2Ffull-record%2FWOS:000165778600003","View Full Record in Web of Science")</f>
        <v>View Full Record in Web of Science</v>
      </c>
    </row>
    <row r="423" spans="1:72" x14ac:dyDescent="0.15">
      <c r="A423" t="s">
        <v>72</v>
      </c>
      <c r="B423" t="s">
        <v>5834</v>
      </c>
      <c r="C423" t="s">
        <v>74</v>
      </c>
      <c r="D423" t="s">
        <v>74</v>
      </c>
      <c r="E423" t="s">
        <v>74</v>
      </c>
      <c r="F423" t="s">
        <v>5834</v>
      </c>
      <c r="G423" t="s">
        <v>74</v>
      </c>
      <c r="H423" t="s">
        <v>74</v>
      </c>
      <c r="I423" t="s">
        <v>5835</v>
      </c>
      <c r="J423" t="s">
        <v>5817</v>
      </c>
      <c r="K423" t="s">
        <v>74</v>
      </c>
      <c r="L423" t="s">
        <v>74</v>
      </c>
      <c r="M423" t="s">
        <v>77</v>
      </c>
      <c r="N423" t="s">
        <v>78</v>
      </c>
      <c r="O423" t="s">
        <v>74</v>
      </c>
      <c r="P423" t="s">
        <v>74</v>
      </c>
      <c r="Q423" t="s">
        <v>74</v>
      </c>
      <c r="R423" t="s">
        <v>74</v>
      </c>
      <c r="S423" t="s">
        <v>74</v>
      </c>
      <c r="T423" t="s">
        <v>5836</v>
      </c>
      <c r="U423" t="s">
        <v>5837</v>
      </c>
      <c r="V423" t="s">
        <v>5838</v>
      </c>
      <c r="W423" t="s">
        <v>5839</v>
      </c>
      <c r="X423" t="s">
        <v>5840</v>
      </c>
      <c r="Y423" t="s">
        <v>3102</v>
      </c>
      <c r="Z423" t="s">
        <v>5841</v>
      </c>
      <c r="AA423" t="s">
        <v>5842</v>
      </c>
      <c r="AB423" t="s">
        <v>5843</v>
      </c>
      <c r="AC423" t="s">
        <v>74</v>
      </c>
      <c r="AD423" t="s">
        <v>74</v>
      </c>
      <c r="AE423" t="s">
        <v>74</v>
      </c>
      <c r="AF423" t="s">
        <v>74</v>
      </c>
      <c r="AG423">
        <v>47</v>
      </c>
      <c r="AH423">
        <v>100</v>
      </c>
      <c r="AI423">
        <v>108</v>
      </c>
      <c r="AJ423">
        <v>0</v>
      </c>
      <c r="AK423">
        <v>10</v>
      </c>
      <c r="AL423" t="s">
        <v>1120</v>
      </c>
      <c r="AM423" t="s">
        <v>1121</v>
      </c>
      <c r="AN423" t="s">
        <v>2394</v>
      </c>
      <c r="AO423" t="s">
        <v>5827</v>
      </c>
      <c r="AP423" t="s">
        <v>5828</v>
      </c>
      <c r="AQ423" t="s">
        <v>74</v>
      </c>
      <c r="AR423" t="s">
        <v>5829</v>
      </c>
      <c r="AS423" t="s">
        <v>5830</v>
      </c>
      <c r="AT423" t="s">
        <v>5036</v>
      </c>
      <c r="AU423">
        <v>2000</v>
      </c>
      <c r="AV423">
        <v>40</v>
      </c>
      <c r="AW423">
        <v>4</v>
      </c>
      <c r="AX423" t="s">
        <v>74</v>
      </c>
      <c r="AY423" t="s">
        <v>74</v>
      </c>
      <c r="AZ423" t="s">
        <v>74</v>
      </c>
      <c r="BA423" t="s">
        <v>74</v>
      </c>
      <c r="BB423">
        <v>417</v>
      </c>
      <c r="BC423">
        <v>439</v>
      </c>
      <c r="BD423" t="s">
        <v>74</v>
      </c>
      <c r="BE423" t="s">
        <v>5844</v>
      </c>
      <c r="BF423" t="str">
        <f>HYPERLINK("http://dx.doi.org/10.1016/S0377-8398(00)00046-3","http://dx.doi.org/10.1016/S0377-8398(00)00046-3")</f>
        <v>http://dx.doi.org/10.1016/S0377-8398(00)00046-3</v>
      </c>
      <c r="BG423" t="s">
        <v>74</v>
      </c>
      <c r="BH423" t="s">
        <v>74</v>
      </c>
      <c r="BI423">
        <v>23</v>
      </c>
      <c r="BJ423" t="s">
        <v>3424</v>
      </c>
      <c r="BK423" t="s">
        <v>94</v>
      </c>
      <c r="BL423" t="s">
        <v>3424</v>
      </c>
      <c r="BM423" t="s">
        <v>5832</v>
      </c>
      <c r="BN423" t="s">
        <v>74</v>
      </c>
      <c r="BO423" t="s">
        <v>74</v>
      </c>
      <c r="BP423" t="s">
        <v>74</v>
      </c>
      <c r="BQ423" t="s">
        <v>74</v>
      </c>
      <c r="BR423" t="s">
        <v>97</v>
      </c>
      <c r="BS423" t="s">
        <v>5845</v>
      </c>
      <c r="BT423" t="str">
        <f>HYPERLINK("https%3A%2F%2Fwww.webofscience.com%2Fwos%2Fwoscc%2Ffull-record%2FWOS:000165778600004","View Full Record in Web of Science")</f>
        <v>View Full Record in Web of Science</v>
      </c>
    </row>
    <row r="424" spans="1:72" x14ac:dyDescent="0.15">
      <c r="A424" t="s">
        <v>72</v>
      </c>
      <c r="B424" t="s">
        <v>5846</v>
      </c>
      <c r="C424" t="s">
        <v>74</v>
      </c>
      <c r="D424" t="s">
        <v>74</v>
      </c>
      <c r="E424" t="s">
        <v>74</v>
      </c>
      <c r="F424" t="s">
        <v>5846</v>
      </c>
      <c r="G424" t="s">
        <v>74</v>
      </c>
      <c r="H424" t="s">
        <v>74</v>
      </c>
      <c r="I424" t="s">
        <v>5847</v>
      </c>
      <c r="J424" t="s">
        <v>5848</v>
      </c>
      <c r="K424" t="s">
        <v>74</v>
      </c>
      <c r="L424" t="s">
        <v>74</v>
      </c>
      <c r="M424" t="s">
        <v>77</v>
      </c>
      <c r="N424" t="s">
        <v>576</v>
      </c>
      <c r="O424" t="s">
        <v>5849</v>
      </c>
      <c r="P424" t="s">
        <v>5850</v>
      </c>
      <c r="Q424" t="s">
        <v>5851</v>
      </c>
      <c r="R424" t="s">
        <v>74</v>
      </c>
      <c r="S424" t="s">
        <v>74</v>
      </c>
      <c r="T424" t="s">
        <v>5852</v>
      </c>
      <c r="U424" t="s">
        <v>5853</v>
      </c>
      <c r="V424" t="s">
        <v>5854</v>
      </c>
      <c r="W424" t="s">
        <v>5855</v>
      </c>
      <c r="X424" t="s">
        <v>5856</v>
      </c>
      <c r="Y424" t="s">
        <v>5857</v>
      </c>
      <c r="Z424" t="s">
        <v>5858</v>
      </c>
      <c r="AA424" t="s">
        <v>74</v>
      </c>
      <c r="AB424" t="s">
        <v>74</v>
      </c>
      <c r="AC424" t="s">
        <v>74</v>
      </c>
      <c r="AD424" t="s">
        <v>74</v>
      </c>
      <c r="AE424" t="s">
        <v>74</v>
      </c>
      <c r="AF424" t="s">
        <v>74</v>
      </c>
      <c r="AG424">
        <v>16</v>
      </c>
      <c r="AH424">
        <v>11</v>
      </c>
      <c r="AI424">
        <v>13</v>
      </c>
      <c r="AJ424">
        <v>0</v>
      </c>
      <c r="AK424">
        <v>16</v>
      </c>
      <c r="AL424" t="s">
        <v>1120</v>
      </c>
      <c r="AM424" t="s">
        <v>1121</v>
      </c>
      <c r="AN424" t="s">
        <v>2394</v>
      </c>
      <c r="AO424" t="s">
        <v>5859</v>
      </c>
      <c r="AP424" t="s">
        <v>74</v>
      </c>
      <c r="AQ424" t="s">
        <v>74</v>
      </c>
      <c r="AR424" t="s">
        <v>5860</v>
      </c>
      <c r="AS424" t="s">
        <v>5861</v>
      </c>
      <c r="AT424" t="s">
        <v>5036</v>
      </c>
      <c r="AU424">
        <v>2000</v>
      </c>
      <c r="AV424">
        <v>67</v>
      </c>
      <c r="AW424" t="s">
        <v>1257</v>
      </c>
      <c r="AX424" t="s">
        <v>74</v>
      </c>
      <c r="AY424" t="s">
        <v>74</v>
      </c>
      <c r="AZ424" t="s">
        <v>74</v>
      </c>
      <c r="BA424" t="s">
        <v>74</v>
      </c>
      <c r="BB424">
        <v>279</v>
      </c>
      <c r="BC424">
        <v>284</v>
      </c>
      <c r="BD424" t="s">
        <v>74</v>
      </c>
      <c r="BE424" t="s">
        <v>5862</v>
      </c>
      <c r="BF424" t="str">
        <f>HYPERLINK("http://dx.doi.org/10.1016/S0026-265X(00)00073-4","http://dx.doi.org/10.1016/S0026-265X(00)00073-4")</f>
        <v>http://dx.doi.org/10.1016/S0026-265X(00)00073-4</v>
      </c>
      <c r="BG424" t="s">
        <v>74</v>
      </c>
      <c r="BH424" t="s">
        <v>74</v>
      </c>
      <c r="BI424">
        <v>6</v>
      </c>
      <c r="BJ424" t="s">
        <v>933</v>
      </c>
      <c r="BK424" t="s">
        <v>2763</v>
      </c>
      <c r="BL424" t="s">
        <v>934</v>
      </c>
      <c r="BM424" t="s">
        <v>5863</v>
      </c>
      <c r="BN424" t="s">
        <v>74</v>
      </c>
      <c r="BO424" t="s">
        <v>74</v>
      </c>
      <c r="BP424" t="s">
        <v>74</v>
      </c>
      <c r="BQ424" t="s">
        <v>74</v>
      </c>
      <c r="BR424" t="s">
        <v>97</v>
      </c>
      <c r="BS424" t="s">
        <v>5864</v>
      </c>
      <c r="BT424" t="str">
        <f>HYPERLINK("https%3A%2F%2Fwww.webofscience.com%2Fwos%2Fwoscc%2Ffull-record%2FWOS:000166804400040","View Full Record in Web of Science")</f>
        <v>View Full Record in Web of Science</v>
      </c>
    </row>
    <row r="425" spans="1:72" x14ac:dyDescent="0.15">
      <c r="A425" t="s">
        <v>72</v>
      </c>
      <c r="B425" t="s">
        <v>5865</v>
      </c>
      <c r="C425" t="s">
        <v>74</v>
      </c>
      <c r="D425" t="s">
        <v>74</v>
      </c>
      <c r="E425" t="s">
        <v>74</v>
      </c>
      <c r="F425" t="s">
        <v>5865</v>
      </c>
      <c r="G425" t="s">
        <v>74</v>
      </c>
      <c r="H425" t="s">
        <v>74</v>
      </c>
      <c r="I425" t="s">
        <v>5866</v>
      </c>
      <c r="J425" t="s">
        <v>5867</v>
      </c>
      <c r="K425" t="s">
        <v>74</v>
      </c>
      <c r="L425" t="s">
        <v>74</v>
      </c>
      <c r="M425" t="s">
        <v>77</v>
      </c>
      <c r="N425" t="s">
        <v>52</v>
      </c>
      <c r="O425" t="s">
        <v>74</v>
      </c>
      <c r="P425" t="s">
        <v>74</v>
      </c>
      <c r="Q425" t="s">
        <v>74</v>
      </c>
      <c r="R425" t="s">
        <v>74</v>
      </c>
      <c r="S425" t="s">
        <v>74</v>
      </c>
      <c r="T425" t="s">
        <v>74</v>
      </c>
      <c r="U425" t="s">
        <v>74</v>
      </c>
      <c r="V425" t="s">
        <v>74</v>
      </c>
      <c r="W425" t="s">
        <v>5868</v>
      </c>
      <c r="X425" t="s">
        <v>5869</v>
      </c>
      <c r="Y425" t="s">
        <v>74</v>
      </c>
      <c r="Z425" t="s">
        <v>74</v>
      </c>
      <c r="AA425" t="s">
        <v>74</v>
      </c>
      <c r="AB425" t="s">
        <v>74</v>
      </c>
      <c r="AC425" t="s">
        <v>74</v>
      </c>
      <c r="AD425" t="s">
        <v>74</v>
      </c>
      <c r="AE425" t="s">
        <v>74</v>
      </c>
      <c r="AF425" t="s">
        <v>74</v>
      </c>
      <c r="AG425">
        <v>0</v>
      </c>
      <c r="AH425">
        <v>0</v>
      </c>
      <c r="AI425">
        <v>0</v>
      </c>
      <c r="AJ425">
        <v>0</v>
      </c>
      <c r="AK425">
        <v>1</v>
      </c>
      <c r="AL425" t="s">
        <v>5870</v>
      </c>
      <c r="AM425" t="s">
        <v>3501</v>
      </c>
      <c r="AN425" t="s">
        <v>5871</v>
      </c>
      <c r="AO425" t="s">
        <v>5872</v>
      </c>
      <c r="AP425" t="s">
        <v>74</v>
      </c>
      <c r="AQ425" t="s">
        <v>74</v>
      </c>
      <c r="AR425" t="s">
        <v>5873</v>
      </c>
      <c r="AS425" t="s">
        <v>5874</v>
      </c>
      <c r="AT425" t="s">
        <v>5036</v>
      </c>
      <c r="AU425">
        <v>2000</v>
      </c>
      <c r="AV425">
        <v>11</v>
      </c>
      <c r="AW425" t="s">
        <v>74</v>
      </c>
      <c r="AX425" t="s">
        <v>74</v>
      </c>
      <c r="AY425" t="s">
        <v>1106</v>
      </c>
      <c r="AZ425" t="s">
        <v>74</v>
      </c>
      <c r="BA425">
        <v>2268</v>
      </c>
      <c r="BB425" t="s">
        <v>5875</v>
      </c>
      <c r="BC425" t="s">
        <v>5875</v>
      </c>
      <c r="BD425" t="s">
        <v>74</v>
      </c>
      <c r="BE425" t="s">
        <v>74</v>
      </c>
      <c r="BF425" t="s">
        <v>74</v>
      </c>
      <c r="BG425" t="s">
        <v>74</v>
      </c>
      <c r="BH425" t="s">
        <v>74</v>
      </c>
      <c r="BI425">
        <v>1</v>
      </c>
      <c r="BJ425" t="s">
        <v>5876</v>
      </c>
      <c r="BK425" t="s">
        <v>94</v>
      </c>
      <c r="BL425" t="s">
        <v>5876</v>
      </c>
      <c r="BM425" t="s">
        <v>5877</v>
      </c>
      <c r="BN425" t="s">
        <v>74</v>
      </c>
      <c r="BO425" t="s">
        <v>74</v>
      </c>
      <c r="BP425" t="s">
        <v>74</v>
      </c>
      <c r="BQ425" t="s">
        <v>74</v>
      </c>
      <c r="BR425" t="s">
        <v>97</v>
      </c>
      <c r="BS425" t="s">
        <v>5878</v>
      </c>
      <c r="BT425" t="str">
        <f>HYPERLINK("https%3A%2F%2Fwww.webofscience.com%2Fwos%2Fwoscc%2Ffull-record%2FWOS:000165525902272","View Full Record in Web of Science")</f>
        <v>View Full Record in Web of Science</v>
      </c>
    </row>
    <row r="426" spans="1:72" x14ac:dyDescent="0.15">
      <c r="A426" t="s">
        <v>72</v>
      </c>
      <c r="B426" t="s">
        <v>5879</v>
      </c>
      <c r="C426" t="s">
        <v>74</v>
      </c>
      <c r="D426" t="s">
        <v>74</v>
      </c>
      <c r="E426" t="s">
        <v>74</v>
      </c>
      <c r="F426" t="s">
        <v>5879</v>
      </c>
      <c r="G426" t="s">
        <v>74</v>
      </c>
      <c r="H426" t="s">
        <v>74</v>
      </c>
      <c r="I426" t="s">
        <v>5880</v>
      </c>
      <c r="J426" t="s">
        <v>5881</v>
      </c>
      <c r="K426" t="s">
        <v>74</v>
      </c>
      <c r="L426" t="s">
        <v>74</v>
      </c>
      <c r="M426" t="s">
        <v>77</v>
      </c>
      <c r="N426" t="s">
        <v>78</v>
      </c>
      <c r="O426" t="s">
        <v>74</v>
      </c>
      <c r="P426" t="s">
        <v>74</v>
      </c>
      <c r="Q426" t="s">
        <v>74</v>
      </c>
      <c r="R426" t="s">
        <v>74</v>
      </c>
      <c r="S426" t="s">
        <v>74</v>
      </c>
      <c r="T426" t="s">
        <v>5882</v>
      </c>
      <c r="U426" t="s">
        <v>5883</v>
      </c>
      <c r="V426" t="s">
        <v>5884</v>
      </c>
      <c r="W426" t="s">
        <v>5885</v>
      </c>
      <c r="X426" t="s">
        <v>5886</v>
      </c>
      <c r="Y426" t="s">
        <v>5887</v>
      </c>
      <c r="Z426" t="s">
        <v>74</v>
      </c>
      <c r="AA426" t="s">
        <v>74</v>
      </c>
      <c r="AB426" t="s">
        <v>5888</v>
      </c>
      <c r="AC426" t="s">
        <v>74</v>
      </c>
      <c r="AD426" t="s">
        <v>74</v>
      </c>
      <c r="AE426" t="s">
        <v>74</v>
      </c>
      <c r="AF426" t="s">
        <v>74</v>
      </c>
      <c r="AG426">
        <v>70</v>
      </c>
      <c r="AH426">
        <v>51</v>
      </c>
      <c r="AI426">
        <v>54</v>
      </c>
      <c r="AJ426">
        <v>1</v>
      </c>
      <c r="AK426">
        <v>5</v>
      </c>
      <c r="AL426" t="s">
        <v>5889</v>
      </c>
      <c r="AM426" t="s">
        <v>5890</v>
      </c>
      <c r="AN426" t="s">
        <v>5891</v>
      </c>
      <c r="AO426" t="s">
        <v>5892</v>
      </c>
      <c r="AP426" t="s">
        <v>74</v>
      </c>
      <c r="AQ426" t="s">
        <v>74</v>
      </c>
      <c r="AR426" t="s">
        <v>5893</v>
      </c>
      <c r="AS426" t="s">
        <v>5894</v>
      </c>
      <c r="AT426" t="s">
        <v>5036</v>
      </c>
      <c r="AU426">
        <v>2000</v>
      </c>
      <c r="AV426">
        <v>43</v>
      </c>
      <c r="AW426">
        <v>4</v>
      </c>
      <c r="AX426" t="s">
        <v>74</v>
      </c>
      <c r="AY426" t="s">
        <v>74</v>
      </c>
      <c r="AZ426" t="s">
        <v>74</v>
      </c>
      <c r="BA426" t="s">
        <v>74</v>
      </c>
      <c r="BB426">
        <v>501</v>
      </c>
      <c r="BC426">
        <v>520</v>
      </c>
      <c r="BD426" t="s">
        <v>74</v>
      </c>
      <c r="BE426" t="s">
        <v>5895</v>
      </c>
      <c r="BF426" t="str">
        <f>HYPERLINK("http://dx.doi.org/10.1080/00288306.2000.9514906","http://dx.doi.org/10.1080/00288306.2000.9514906")</f>
        <v>http://dx.doi.org/10.1080/00288306.2000.9514906</v>
      </c>
      <c r="BG426" t="s">
        <v>74</v>
      </c>
      <c r="BH426" t="s">
        <v>74</v>
      </c>
      <c r="BI426">
        <v>20</v>
      </c>
      <c r="BJ426" t="s">
        <v>5896</v>
      </c>
      <c r="BK426" t="s">
        <v>94</v>
      </c>
      <c r="BL426" t="s">
        <v>597</v>
      </c>
      <c r="BM426" t="s">
        <v>5897</v>
      </c>
      <c r="BN426" t="s">
        <v>74</v>
      </c>
      <c r="BO426" t="s">
        <v>1755</v>
      </c>
      <c r="BP426" t="s">
        <v>74</v>
      </c>
      <c r="BQ426" t="s">
        <v>74</v>
      </c>
      <c r="BR426" t="s">
        <v>97</v>
      </c>
      <c r="BS426" t="s">
        <v>5898</v>
      </c>
      <c r="BT426" t="str">
        <f>HYPERLINK("https%3A%2F%2Fwww.webofscience.com%2Fwos%2Fwoscc%2Ffull-record%2FWOS:000166440900003","View Full Record in Web of Science")</f>
        <v>View Full Record in Web of Science</v>
      </c>
    </row>
    <row r="427" spans="1:72" x14ac:dyDescent="0.15">
      <c r="A427" t="s">
        <v>72</v>
      </c>
      <c r="B427" t="s">
        <v>5899</v>
      </c>
      <c r="C427" t="s">
        <v>74</v>
      </c>
      <c r="D427" t="s">
        <v>74</v>
      </c>
      <c r="E427" t="s">
        <v>74</v>
      </c>
      <c r="F427" t="s">
        <v>5899</v>
      </c>
      <c r="G427" t="s">
        <v>74</v>
      </c>
      <c r="H427" t="s">
        <v>74</v>
      </c>
      <c r="I427" t="s">
        <v>5900</v>
      </c>
      <c r="J427" t="s">
        <v>5901</v>
      </c>
      <c r="K427" t="s">
        <v>74</v>
      </c>
      <c r="L427" t="s">
        <v>74</v>
      </c>
      <c r="M427" t="s">
        <v>77</v>
      </c>
      <c r="N427" t="s">
        <v>78</v>
      </c>
      <c r="O427" t="s">
        <v>74</v>
      </c>
      <c r="P427" t="s">
        <v>74</v>
      </c>
      <c r="Q427" t="s">
        <v>74</v>
      </c>
      <c r="R427" t="s">
        <v>74</v>
      </c>
      <c r="S427" t="s">
        <v>74</v>
      </c>
      <c r="T427" t="s">
        <v>5902</v>
      </c>
      <c r="U427" t="s">
        <v>5903</v>
      </c>
      <c r="V427" t="s">
        <v>5904</v>
      </c>
      <c r="W427" t="s">
        <v>5905</v>
      </c>
      <c r="X427" t="s">
        <v>5906</v>
      </c>
      <c r="Y427" t="s">
        <v>5907</v>
      </c>
      <c r="Z427" t="s">
        <v>74</v>
      </c>
      <c r="AA427" t="s">
        <v>5908</v>
      </c>
      <c r="AB427" t="s">
        <v>5909</v>
      </c>
      <c r="AC427" t="s">
        <v>74</v>
      </c>
      <c r="AD427" t="s">
        <v>74</v>
      </c>
      <c r="AE427" t="s">
        <v>74</v>
      </c>
      <c r="AF427" t="s">
        <v>74</v>
      </c>
      <c r="AG427">
        <v>38</v>
      </c>
      <c r="AH427">
        <v>46</v>
      </c>
      <c r="AI427">
        <v>51</v>
      </c>
      <c r="AJ427">
        <v>0</v>
      </c>
      <c r="AK427">
        <v>23</v>
      </c>
      <c r="AL427" t="s">
        <v>159</v>
      </c>
      <c r="AM427" t="s">
        <v>160</v>
      </c>
      <c r="AN427" t="s">
        <v>161</v>
      </c>
      <c r="AO427" t="s">
        <v>5910</v>
      </c>
      <c r="AP427" t="s">
        <v>74</v>
      </c>
      <c r="AQ427" t="s">
        <v>74</v>
      </c>
      <c r="AR427" t="s">
        <v>5901</v>
      </c>
      <c r="AS427" t="s">
        <v>5911</v>
      </c>
      <c r="AT427" t="s">
        <v>5036</v>
      </c>
      <c r="AU427">
        <v>2000</v>
      </c>
      <c r="AV427">
        <v>125</v>
      </c>
      <c r="AW427">
        <v>4</v>
      </c>
      <c r="AX427" t="s">
        <v>74</v>
      </c>
      <c r="AY427" t="s">
        <v>74</v>
      </c>
      <c r="AZ427" t="s">
        <v>74</v>
      </c>
      <c r="BA427" t="s">
        <v>74</v>
      </c>
      <c r="BB427">
        <v>483</v>
      </c>
      <c r="BC427">
        <v>488</v>
      </c>
      <c r="BD427" t="s">
        <v>74</v>
      </c>
      <c r="BE427" t="s">
        <v>5912</v>
      </c>
      <c r="BF427" t="str">
        <f>HYPERLINK("http://dx.doi.org/10.1007/s004420000481","http://dx.doi.org/10.1007/s004420000481")</f>
        <v>http://dx.doi.org/10.1007/s004420000481</v>
      </c>
      <c r="BG427" t="s">
        <v>74</v>
      </c>
      <c r="BH427" t="s">
        <v>74</v>
      </c>
      <c r="BI427">
        <v>6</v>
      </c>
      <c r="BJ427" t="s">
        <v>5913</v>
      </c>
      <c r="BK427" t="s">
        <v>94</v>
      </c>
      <c r="BL427" t="s">
        <v>114</v>
      </c>
      <c r="BM427" t="s">
        <v>5914</v>
      </c>
      <c r="BN427">
        <v>28547217</v>
      </c>
      <c r="BO427" t="s">
        <v>74</v>
      </c>
      <c r="BP427" t="s">
        <v>74</v>
      </c>
      <c r="BQ427" t="s">
        <v>74</v>
      </c>
      <c r="BR427" t="s">
        <v>97</v>
      </c>
      <c r="BS427" t="s">
        <v>5915</v>
      </c>
      <c r="BT427" t="str">
        <f>HYPERLINK("https%3A%2F%2Fwww.webofscience.com%2Fwos%2Fwoscc%2Ffull-record%2FWOS:000165442800004","View Full Record in Web of Science")</f>
        <v>View Full Record in Web of Science</v>
      </c>
    </row>
    <row r="428" spans="1:72" x14ac:dyDescent="0.15">
      <c r="A428" t="s">
        <v>72</v>
      </c>
      <c r="B428" t="s">
        <v>5916</v>
      </c>
      <c r="C428" t="s">
        <v>74</v>
      </c>
      <c r="D428" t="s">
        <v>74</v>
      </c>
      <c r="E428" t="s">
        <v>74</v>
      </c>
      <c r="F428" t="s">
        <v>5916</v>
      </c>
      <c r="G428" t="s">
        <v>74</v>
      </c>
      <c r="H428" t="s">
        <v>74</v>
      </c>
      <c r="I428" t="s">
        <v>5917</v>
      </c>
      <c r="J428" t="s">
        <v>5918</v>
      </c>
      <c r="K428" t="s">
        <v>74</v>
      </c>
      <c r="L428" t="s">
        <v>74</v>
      </c>
      <c r="M428" t="s">
        <v>77</v>
      </c>
      <c r="N428" t="s">
        <v>78</v>
      </c>
      <c r="O428" t="s">
        <v>74</v>
      </c>
      <c r="P428" t="s">
        <v>74</v>
      </c>
      <c r="Q428" t="s">
        <v>74</v>
      </c>
      <c r="R428" t="s">
        <v>74</v>
      </c>
      <c r="S428" t="s">
        <v>74</v>
      </c>
      <c r="T428" t="s">
        <v>74</v>
      </c>
      <c r="U428" t="s">
        <v>74</v>
      </c>
      <c r="V428" t="s">
        <v>5919</v>
      </c>
      <c r="W428" t="s">
        <v>5920</v>
      </c>
      <c r="X428" t="s">
        <v>5921</v>
      </c>
      <c r="Y428" t="s">
        <v>5922</v>
      </c>
      <c r="Z428" t="s">
        <v>74</v>
      </c>
      <c r="AA428" t="s">
        <v>74</v>
      </c>
      <c r="AB428" t="s">
        <v>5923</v>
      </c>
      <c r="AC428" t="s">
        <v>74</v>
      </c>
      <c r="AD428" t="s">
        <v>74</v>
      </c>
      <c r="AE428" t="s">
        <v>74</v>
      </c>
      <c r="AF428" t="s">
        <v>74</v>
      </c>
      <c r="AG428">
        <v>7</v>
      </c>
      <c r="AH428">
        <v>4</v>
      </c>
      <c r="AI428">
        <v>5</v>
      </c>
      <c r="AJ428">
        <v>0</v>
      </c>
      <c r="AK428">
        <v>2</v>
      </c>
      <c r="AL428" t="s">
        <v>5924</v>
      </c>
      <c r="AM428" t="s">
        <v>5925</v>
      </c>
      <c r="AN428" t="s">
        <v>5926</v>
      </c>
      <c r="AO428" t="s">
        <v>5927</v>
      </c>
      <c r="AP428" t="s">
        <v>74</v>
      </c>
      <c r="AQ428" t="s">
        <v>74</v>
      </c>
      <c r="AR428" t="s">
        <v>5918</v>
      </c>
      <c r="AS428" t="s">
        <v>5928</v>
      </c>
      <c r="AT428" t="s">
        <v>5036</v>
      </c>
      <c r="AU428">
        <v>2000</v>
      </c>
      <c r="AV428">
        <v>53</v>
      </c>
      <c r="AW428">
        <v>3</v>
      </c>
      <c r="AX428" t="s">
        <v>74</v>
      </c>
      <c r="AY428" t="s">
        <v>74</v>
      </c>
      <c r="AZ428" t="s">
        <v>74</v>
      </c>
      <c r="BA428" t="s">
        <v>74</v>
      </c>
      <c r="BB428">
        <v>181</v>
      </c>
      <c r="BC428">
        <v>188</v>
      </c>
      <c r="BD428" t="s">
        <v>74</v>
      </c>
      <c r="BE428" t="s">
        <v>5929</v>
      </c>
      <c r="BF428" t="str">
        <f>HYPERLINK("http://dx.doi.org/10.1080/00785326.2000.10409448","http://dx.doi.org/10.1080/00785326.2000.10409448")</f>
        <v>http://dx.doi.org/10.1080/00785326.2000.10409448</v>
      </c>
      <c r="BG428" t="s">
        <v>74</v>
      </c>
      <c r="BH428" t="s">
        <v>74</v>
      </c>
      <c r="BI428">
        <v>8</v>
      </c>
      <c r="BJ428" t="s">
        <v>1259</v>
      </c>
      <c r="BK428" t="s">
        <v>94</v>
      </c>
      <c r="BL428" t="s">
        <v>1259</v>
      </c>
      <c r="BM428" t="s">
        <v>5930</v>
      </c>
      <c r="BN428" t="s">
        <v>74</v>
      </c>
      <c r="BO428" t="s">
        <v>74</v>
      </c>
      <c r="BP428" t="s">
        <v>74</v>
      </c>
      <c r="BQ428" t="s">
        <v>74</v>
      </c>
      <c r="BR428" t="s">
        <v>97</v>
      </c>
      <c r="BS428" t="s">
        <v>5931</v>
      </c>
      <c r="BT428" t="str">
        <f>HYPERLINK("https%3A%2F%2Fwww.webofscience.com%2Fwos%2Fwoscc%2Ffull-record%2FWOS:000166476300003","View Full Record in Web of Science")</f>
        <v>View Full Record in Web of Science</v>
      </c>
    </row>
    <row r="429" spans="1:72" x14ac:dyDescent="0.15">
      <c r="A429" t="s">
        <v>72</v>
      </c>
      <c r="B429" t="s">
        <v>5932</v>
      </c>
      <c r="C429" t="s">
        <v>74</v>
      </c>
      <c r="D429" t="s">
        <v>74</v>
      </c>
      <c r="E429" t="s">
        <v>74</v>
      </c>
      <c r="F429" t="s">
        <v>5932</v>
      </c>
      <c r="G429" t="s">
        <v>74</v>
      </c>
      <c r="H429" t="s">
        <v>74</v>
      </c>
      <c r="I429" t="s">
        <v>5933</v>
      </c>
      <c r="J429" t="s">
        <v>5934</v>
      </c>
      <c r="K429" t="s">
        <v>74</v>
      </c>
      <c r="L429" t="s">
        <v>74</v>
      </c>
      <c r="M429" t="s">
        <v>77</v>
      </c>
      <c r="N429" t="s">
        <v>78</v>
      </c>
      <c r="O429" t="s">
        <v>74</v>
      </c>
      <c r="P429" t="s">
        <v>74</v>
      </c>
      <c r="Q429" t="s">
        <v>74</v>
      </c>
      <c r="R429" t="s">
        <v>74</v>
      </c>
      <c r="S429" t="s">
        <v>74</v>
      </c>
      <c r="T429" t="s">
        <v>74</v>
      </c>
      <c r="U429" t="s">
        <v>5935</v>
      </c>
      <c r="V429" t="s">
        <v>5936</v>
      </c>
      <c r="W429" t="s">
        <v>5937</v>
      </c>
      <c r="X429" t="s">
        <v>5938</v>
      </c>
      <c r="Y429" t="s">
        <v>5939</v>
      </c>
      <c r="Z429" t="s">
        <v>74</v>
      </c>
      <c r="AA429" t="s">
        <v>74</v>
      </c>
      <c r="AB429" t="s">
        <v>74</v>
      </c>
      <c r="AC429" t="s">
        <v>74</v>
      </c>
      <c r="AD429" t="s">
        <v>74</v>
      </c>
      <c r="AE429" t="s">
        <v>74</v>
      </c>
      <c r="AF429" t="s">
        <v>74</v>
      </c>
      <c r="AG429">
        <v>18</v>
      </c>
      <c r="AH429">
        <v>465</v>
      </c>
      <c r="AI429">
        <v>505</v>
      </c>
      <c r="AJ429">
        <v>1</v>
      </c>
      <c r="AK429">
        <v>69</v>
      </c>
      <c r="AL429" t="s">
        <v>1059</v>
      </c>
      <c r="AM429" t="s">
        <v>1060</v>
      </c>
      <c r="AN429" t="s">
        <v>1061</v>
      </c>
      <c r="AO429" t="s">
        <v>5940</v>
      </c>
      <c r="AP429" t="s">
        <v>74</v>
      </c>
      <c r="AQ429" t="s">
        <v>74</v>
      </c>
      <c r="AR429" t="s">
        <v>5934</v>
      </c>
      <c r="AS429" t="s">
        <v>5941</v>
      </c>
      <c r="AT429" t="s">
        <v>5036</v>
      </c>
      <c r="AU429">
        <v>2000</v>
      </c>
      <c r="AV429">
        <v>15</v>
      </c>
      <c r="AW429">
        <v>6</v>
      </c>
      <c r="AX429" t="s">
        <v>74</v>
      </c>
      <c r="AY429" t="s">
        <v>74</v>
      </c>
      <c r="AZ429" t="s">
        <v>74</v>
      </c>
      <c r="BA429" t="s">
        <v>74</v>
      </c>
      <c r="BB429">
        <v>565</v>
      </c>
      <c r="BC429">
        <v>569</v>
      </c>
      <c r="BD429" t="s">
        <v>74</v>
      </c>
      <c r="BE429" t="s">
        <v>5942</v>
      </c>
      <c r="BF429" t="str">
        <f>HYPERLINK("http://dx.doi.org/10.1029/2000PA000513","http://dx.doi.org/10.1029/2000PA000513")</f>
        <v>http://dx.doi.org/10.1029/2000PA000513</v>
      </c>
      <c r="BG429" t="s">
        <v>74</v>
      </c>
      <c r="BH429" t="s">
        <v>74</v>
      </c>
      <c r="BI429">
        <v>5</v>
      </c>
      <c r="BJ429" t="s">
        <v>5943</v>
      </c>
      <c r="BK429" t="s">
        <v>94</v>
      </c>
      <c r="BL429" t="s">
        <v>5944</v>
      </c>
      <c r="BM429" t="s">
        <v>5945</v>
      </c>
      <c r="BN429" t="s">
        <v>74</v>
      </c>
      <c r="BO429" t="s">
        <v>2294</v>
      </c>
      <c r="BP429" t="s">
        <v>74</v>
      </c>
      <c r="BQ429" t="s">
        <v>74</v>
      </c>
      <c r="BR429" t="s">
        <v>97</v>
      </c>
      <c r="BS429" t="s">
        <v>5946</v>
      </c>
      <c r="BT429" t="str">
        <f>HYPERLINK("https%3A%2F%2Fwww.webofscience.com%2Fwos%2Fwoscc%2Ffull-record%2FWOS:000165959900001","View Full Record in Web of Science")</f>
        <v>View Full Record in Web of Science</v>
      </c>
    </row>
    <row r="430" spans="1:72" x14ac:dyDescent="0.15">
      <c r="A430" t="s">
        <v>72</v>
      </c>
      <c r="B430" t="s">
        <v>5947</v>
      </c>
      <c r="C430" t="s">
        <v>74</v>
      </c>
      <c r="D430" t="s">
        <v>74</v>
      </c>
      <c r="E430" t="s">
        <v>74</v>
      </c>
      <c r="F430" t="s">
        <v>5947</v>
      </c>
      <c r="G430" t="s">
        <v>74</v>
      </c>
      <c r="H430" t="s">
        <v>74</v>
      </c>
      <c r="I430" t="s">
        <v>5948</v>
      </c>
      <c r="J430" t="s">
        <v>5934</v>
      </c>
      <c r="K430" t="s">
        <v>74</v>
      </c>
      <c r="L430" t="s">
        <v>74</v>
      </c>
      <c r="M430" t="s">
        <v>77</v>
      </c>
      <c r="N430" t="s">
        <v>236</v>
      </c>
      <c r="O430" t="s">
        <v>74</v>
      </c>
      <c r="P430" t="s">
        <v>74</v>
      </c>
      <c r="Q430" t="s">
        <v>74</v>
      </c>
      <c r="R430" t="s">
        <v>74</v>
      </c>
      <c r="S430" t="s">
        <v>74</v>
      </c>
      <c r="T430" t="s">
        <v>74</v>
      </c>
      <c r="U430" t="s">
        <v>5949</v>
      </c>
      <c r="V430" t="s">
        <v>5950</v>
      </c>
      <c r="W430" t="s">
        <v>5951</v>
      </c>
      <c r="X430" t="s">
        <v>5952</v>
      </c>
      <c r="Y430" t="s">
        <v>5953</v>
      </c>
      <c r="Z430" t="s">
        <v>5954</v>
      </c>
      <c r="AA430" t="s">
        <v>5955</v>
      </c>
      <c r="AB430" t="s">
        <v>5956</v>
      </c>
      <c r="AC430" t="s">
        <v>74</v>
      </c>
      <c r="AD430" t="s">
        <v>74</v>
      </c>
      <c r="AE430" t="s">
        <v>74</v>
      </c>
      <c r="AF430" t="s">
        <v>74</v>
      </c>
      <c r="AG430">
        <v>114</v>
      </c>
      <c r="AH430">
        <v>116</v>
      </c>
      <c r="AI430">
        <v>129</v>
      </c>
      <c r="AJ430">
        <v>0</v>
      </c>
      <c r="AK430">
        <v>28</v>
      </c>
      <c r="AL430" t="s">
        <v>1059</v>
      </c>
      <c r="AM430" t="s">
        <v>1060</v>
      </c>
      <c r="AN430" t="s">
        <v>1061</v>
      </c>
      <c r="AO430" t="s">
        <v>5940</v>
      </c>
      <c r="AP430" t="s">
        <v>5957</v>
      </c>
      <c r="AQ430" t="s">
        <v>74</v>
      </c>
      <c r="AR430" t="s">
        <v>5934</v>
      </c>
      <c r="AS430" t="s">
        <v>5941</v>
      </c>
      <c r="AT430" t="s">
        <v>5036</v>
      </c>
      <c r="AU430">
        <v>2000</v>
      </c>
      <c r="AV430">
        <v>15</v>
      </c>
      <c r="AW430">
        <v>6</v>
      </c>
      <c r="AX430" t="s">
        <v>74</v>
      </c>
      <c r="AY430" t="s">
        <v>74</v>
      </c>
      <c r="AZ430" t="s">
        <v>74</v>
      </c>
      <c r="BA430" t="s">
        <v>74</v>
      </c>
      <c r="BB430">
        <v>642</v>
      </c>
      <c r="BC430">
        <v>658</v>
      </c>
      <c r="BD430" t="s">
        <v>74</v>
      </c>
      <c r="BE430" t="s">
        <v>5958</v>
      </c>
      <c r="BF430" t="str">
        <f>HYPERLINK("http://dx.doi.org/10.1029/2000PA000497","http://dx.doi.org/10.1029/2000PA000497")</f>
        <v>http://dx.doi.org/10.1029/2000PA000497</v>
      </c>
      <c r="BG430" t="s">
        <v>74</v>
      </c>
      <c r="BH430" t="s">
        <v>74</v>
      </c>
      <c r="BI430">
        <v>17</v>
      </c>
      <c r="BJ430" t="s">
        <v>5943</v>
      </c>
      <c r="BK430" t="s">
        <v>94</v>
      </c>
      <c r="BL430" t="s">
        <v>5944</v>
      </c>
      <c r="BM430" t="s">
        <v>5945</v>
      </c>
      <c r="BN430" t="s">
        <v>74</v>
      </c>
      <c r="BO430" t="s">
        <v>1755</v>
      </c>
      <c r="BP430" t="s">
        <v>74</v>
      </c>
      <c r="BQ430" t="s">
        <v>74</v>
      </c>
      <c r="BR430" t="s">
        <v>97</v>
      </c>
      <c r="BS430" t="s">
        <v>5959</v>
      </c>
      <c r="BT430" t="str">
        <f>HYPERLINK("https%3A%2F%2Fwww.webofscience.com%2Fwos%2Fwoscc%2Ffull-record%2FWOS:000165959900007","View Full Record in Web of Science")</f>
        <v>View Full Record in Web of Science</v>
      </c>
    </row>
    <row r="431" spans="1:72" x14ac:dyDescent="0.15">
      <c r="A431" t="s">
        <v>72</v>
      </c>
      <c r="B431" t="s">
        <v>5960</v>
      </c>
      <c r="C431" t="s">
        <v>74</v>
      </c>
      <c r="D431" t="s">
        <v>74</v>
      </c>
      <c r="E431" t="s">
        <v>74</v>
      </c>
      <c r="F431" t="s">
        <v>5960</v>
      </c>
      <c r="G431" t="s">
        <v>74</v>
      </c>
      <c r="H431" t="s">
        <v>74</v>
      </c>
      <c r="I431" t="s">
        <v>5961</v>
      </c>
      <c r="J431" t="s">
        <v>5962</v>
      </c>
      <c r="K431" t="s">
        <v>74</v>
      </c>
      <c r="L431" t="s">
        <v>74</v>
      </c>
      <c r="M431" t="s">
        <v>77</v>
      </c>
      <c r="N431" t="s">
        <v>78</v>
      </c>
      <c r="O431" t="s">
        <v>74</v>
      </c>
      <c r="P431" t="s">
        <v>74</v>
      </c>
      <c r="Q431" t="s">
        <v>74</v>
      </c>
      <c r="R431" t="s">
        <v>74</v>
      </c>
      <c r="S431" t="s">
        <v>74</v>
      </c>
      <c r="T431" t="s">
        <v>74</v>
      </c>
      <c r="U431" t="s">
        <v>5963</v>
      </c>
      <c r="V431" t="s">
        <v>5964</v>
      </c>
      <c r="W431" t="s">
        <v>5965</v>
      </c>
      <c r="X431" t="s">
        <v>74</v>
      </c>
      <c r="Y431" t="s">
        <v>5966</v>
      </c>
      <c r="Z431" t="s">
        <v>74</v>
      </c>
      <c r="AA431" t="s">
        <v>74</v>
      </c>
      <c r="AB431" t="s">
        <v>74</v>
      </c>
      <c r="AC431" t="s">
        <v>74</v>
      </c>
      <c r="AD431" t="s">
        <v>74</v>
      </c>
      <c r="AE431" t="s">
        <v>74</v>
      </c>
      <c r="AF431" t="s">
        <v>74</v>
      </c>
      <c r="AG431">
        <v>39</v>
      </c>
      <c r="AH431">
        <v>12</v>
      </c>
      <c r="AI431">
        <v>12</v>
      </c>
      <c r="AJ431">
        <v>0</v>
      </c>
      <c r="AK431">
        <v>3</v>
      </c>
      <c r="AL431" t="s">
        <v>5967</v>
      </c>
      <c r="AM431" t="s">
        <v>5968</v>
      </c>
      <c r="AN431" t="s">
        <v>5969</v>
      </c>
      <c r="AO431" t="s">
        <v>5970</v>
      </c>
      <c r="AP431" t="s">
        <v>74</v>
      </c>
      <c r="AQ431" t="s">
        <v>74</v>
      </c>
      <c r="AR431" t="s">
        <v>5971</v>
      </c>
      <c r="AS431" t="s">
        <v>5972</v>
      </c>
      <c r="AT431" t="s">
        <v>5036</v>
      </c>
      <c r="AU431">
        <v>2000</v>
      </c>
      <c r="AV431">
        <v>72</v>
      </c>
      <c r="AW431">
        <v>6</v>
      </c>
      <c r="AX431" t="s">
        <v>74</v>
      </c>
      <c r="AY431" t="s">
        <v>74</v>
      </c>
      <c r="AZ431" t="s">
        <v>74</v>
      </c>
      <c r="BA431" t="s">
        <v>74</v>
      </c>
      <c r="BB431">
        <v>753</v>
      </c>
      <c r="BC431">
        <v>765</v>
      </c>
      <c r="BD431" t="s">
        <v>74</v>
      </c>
      <c r="BE431" t="s">
        <v>5973</v>
      </c>
      <c r="BF431" t="str">
        <f>HYPERLINK("http://dx.doi.org/10.1562/0031-8655(2000)072&lt;0753:EOCOOT&gt;2.0.CO;2","http://dx.doi.org/10.1562/0031-8655(2000)072&lt;0753:EOCOOT&gt;2.0.CO;2")</f>
        <v>http://dx.doi.org/10.1562/0031-8655(2000)072&lt;0753:EOCOOT&gt;2.0.CO;2</v>
      </c>
      <c r="BG431" t="s">
        <v>74</v>
      </c>
      <c r="BH431" t="s">
        <v>74</v>
      </c>
      <c r="BI431">
        <v>13</v>
      </c>
      <c r="BJ431" t="s">
        <v>4732</v>
      </c>
      <c r="BK431" t="s">
        <v>94</v>
      </c>
      <c r="BL431" t="s">
        <v>4732</v>
      </c>
      <c r="BM431" t="s">
        <v>5974</v>
      </c>
      <c r="BN431">
        <v>11140263</v>
      </c>
      <c r="BO431" t="s">
        <v>74</v>
      </c>
      <c r="BP431" t="s">
        <v>74</v>
      </c>
      <c r="BQ431" t="s">
        <v>74</v>
      </c>
      <c r="BR431" t="s">
        <v>97</v>
      </c>
      <c r="BS431" t="s">
        <v>5975</v>
      </c>
      <c r="BT431" t="str">
        <f>HYPERLINK("https%3A%2F%2Fwww.webofscience.com%2Fwos%2Fwoscc%2Ffull-record%2FWOS:000166027600006","View Full Record in Web of Science")</f>
        <v>View Full Record in Web of Science</v>
      </c>
    </row>
    <row r="432" spans="1:72" x14ac:dyDescent="0.15">
      <c r="A432" t="s">
        <v>72</v>
      </c>
      <c r="B432" t="s">
        <v>5976</v>
      </c>
      <c r="C432" t="s">
        <v>74</v>
      </c>
      <c r="D432" t="s">
        <v>74</v>
      </c>
      <c r="E432" t="s">
        <v>74</v>
      </c>
      <c r="F432" t="s">
        <v>5976</v>
      </c>
      <c r="G432" t="s">
        <v>74</v>
      </c>
      <c r="H432" t="s">
        <v>74</v>
      </c>
      <c r="I432" t="s">
        <v>5977</v>
      </c>
      <c r="J432" t="s">
        <v>5978</v>
      </c>
      <c r="K432" t="s">
        <v>74</v>
      </c>
      <c r="L432" t="s">
        <v>74</v>
      </c>
      <c r="M432" t="s">
        <v>77</v>
      </c>
      <c r="N432" t="s">
        <v>78</v>
      </c>
      <c r="O432" t="s">
        <v>74</v>
      </c>
      <c r="P432" t="s">
        <v>74</v>
      </c>
      <c r="Q432" t="s">
        <v>74</v>
      </c>
      <c r="R432" t="s">
        <v>74</v>
      </c>
      <c r="S432" t="s">
        <v>74</v>
      </c>
      <c r="T432" t="s">
        <v>74</v>
      </c>
      <c r="U432" t="s">
        <v>5979</v>
      </c>
      <c r="V432" t="s">
        <v>5980</v>
      </c>
      <c r="W432" t="s">
        <v>5981</v>
      </c>
      <c r="X432" t="s">
        <v>5982</v>
      </c>
      <c r="Y432" t="s">
        <v>5983</v>
      </c>
      <c r="Z432" t="s">
        <v>74</v>
      </c>
      <c r="AA432" t="s">
        <v>74</v>
      </c>
      <c r="AB432" t="s">
        <v>5984</v>
      </c>
      <c r="AC432" t="s">
        <v>74</v>
      </c>
      <c r="AD432" t="s">
        <v>74</v>
      </c>
      <c r="AE432" t="s">
        <v>74</v>
      </c>
      <c r="AF432" t="s">
        <v>74</v>
      </c>
      <c r="AG432">
        <v>34</v>
      </c>
      <c r="AH432">
        <v>75</v>
      </c>
      <c r="AI432">
        <v>84</v>
      </c>
      <c r="AJ432">
        <v>0</v>
      </c>
      <c r="AK432">
        <v>2</v>
      </c>
      <c r="AL432" t="s">
        <v>5985</v>
      </c>
      <c r="AM432" t="s">
        <v>5986</v>
      </c>
      <c r="AN432" t="s">
        <v>5987</v>
      </c>
      <c r="AO432" t="s">
        <v>5988</v>
      </c>
      <c r="AP432" t="s">
        <v>74</v>
      </c>
      <c r="AQ432" t="s">
        <v>74</v>
      </c>
      <c r="AR432" t="s">
        <v>5989</v>
      </c>
      <c r="AS432" t="s">
        <v>5990</v>
      </c>
      <c r="AT432" t="s">
        <v>5036</v>
      </c>
      <c r="AU432">
        <v>2000</v>
      </c>
      <c r="AV432">
        <v>62</v>
      </c>
      <c r="AW432">
        <v>6</v>
      </c>
      <c r="AX432" t="s">
        <v>99</v>
      </c>
      <c r="AY432" t="s">
        <v>74</v>
      </c>
      <c r="AZ432" t="s">
        <v>74</v>
      </c>
      <c r="BA432" t="s">
        <v>74</v>
      </c>
      <c r="BB432">
        <v>8590</v>
      </c>
      <c r="BC432">
        <v>8605</v>
      </c>
      <c r="BD432" t="s">
        <v>74</v>
      </c>
      <c r="BE432" t="s">
        <v>5991</v>
      </c>
      <c r="BF432" t="str">
        <f>HYPERLINK("http://dx.doi.org/10.1103/PhysRevE.62.8590","http://dx.doi.org/10.1103/PhysRevE.62.8590")</f>
        <v>http://dx.doi.org/10.1103/PhysRevE.62.8590</v>
      </c>
      <c r="BG432" t="s">
        <v>74</v>
      </c>
      <c r="BH432" t="s">
        <v>74</v>
      </c>
      <c r="BI432">
        <v>16</v>
      </c>
      <c r="BJ432" t="s">
        <v>5992</v>
      </c>
      <c r="BK432" t="s">
        <v>94</v>
      </c>
      <c r="BL432" t="s">
        <v>1156</v>
      </c>
      <c r="BM432" t="s">
        <v>5993</v>
      </c>
      <c r="BN432">
        <v>11138159</v>
      </c>
      <c r="BO432" t="s">
        <v>296</v>
      </c>
      <c r="BP432" t="s">
        <v>74</v>
      </c>
      <c r="BQ432" t="s">
        <v>74</v>
      </c>
      <c r="BR432" t="s">
        <v>97</v>
      </c>
      <c r="BS432" t="s">
        <v>5994</v>
      </c>
      <c r="BT432" t="str">
        <f>HYPERLINK("https%3A%2F%2Fwww.webofscience.com%2Fwos%2Fwoscc%2Ffull-record%2FWOS:000165879500045","View Full Record in Web of Science")</f>
        <v>View Full Record in Web of Science</v>
      </c>
    </row>
    <row r="433" spans="1:72" x14ac:dyDescent="0.15">
      <c r="A433" t="s">
        <v>72</v>
      </c>
      <c r="B433" t="s">
        <v>5995</v>
      </c>
      <c r="C433" t="s">
        <v>74</v>
      </c>
      <c r="D433" t="s">
        <v>74</v>
      </c>
      <c r="E433" t="s">
        <v>74</v>
      </c>
      <c r="F433" t="s">
        <v>5995</v>
      </c>
      <c r="G433" t="s">
        <v>74</v>
      </c>
      <c r="H433" t="s">
        <v>74</v>
      </c>
      <c r="I433" t="s">
        <v>5996</v>
      </c>
      <c r="J433" t="s">
        <v>5978</v>
      </c>
      <c r="K433" t="s">
        <v>74</v>
      </c>
      <c r="L433" t="s">
        <v>74</v>
      </c>
      <c r="M433" t="s">
        <v>77</v>
      </c>
      <c r="N433" t="s">
        <v>78</v>
      </c>
      <c r="O433" t="s">
        <v>74</v>
      </c>
      <c r="P433" t="s">
        <v>74</v>
      </c>
      <c r="Q433" t="s">
        <v>74</v>
      </c>
      <c r="R433" t="s">
        <v>74</v>
      </c>
      <c r="S433" t="s">
        <v>74</v>
      </c>
      <c r="T433" t="s">
        <v>74</v>
      </c>
      <c r="U433" t="s">
        <v>5997</v>
      </c>
      <c r="V433" t="s">
        <v>5998</v>
      </c>
      <c r="W433" t="s">
        <v>833</v>
      </c>
      <c r="X433" t="s">
        <v>221</v>
      </c>
      <c r="Y433" t="s">
        <v>961</v>
      </c>
      <c r="Z433" t="s">
        <v>74</v>
      </c>
      <c r="AA433" t="s">
        <v>5999</v>
      </c>
      <c r="AB433" t="s">
        <v>6000</v>
      </c>
      <c r="AC433" t="s">
        <v>74</v>
      </c>
      <c r="AD433" t="s">
        <v>74</v>
      </c>
      <c r="AE433" t="s">
        <v>74</v>
      </c>
      <c r="AF433" t="s">
        <v>74</v>
      </c>
      <c r="AG433">
        <v>50</v>
      </c>
      <c r="AH433">
        <v>52</v>
      </c>
      <c r="AI433">
        <v>52</v>
      </c>
      <c r="AJ433">
        <v>0</v>
      </c>
      <c r="AK433">
        <v>6</v>
      </c>
      <c r="AL433" t="s">
        <v>6001</v>
      </c>
      <c r="AM433" t="s">
        <v>5986</v>
      </c>
      <c r="AN433" t="s">
        <v>5987</v>
      </c>
      <c r="AO433" t="s">
        <v>6002</v>
      </c>
      <c r="AP433" t="s">
        <v>6003</v>
      </c>
      <c r="AQ433" t="s">
        <v>74</v>
      </c>
      <c r="AR433" t="s">
        <v>5989</v>
      </c>
      <c r="AS433" t="s">
        <v>5990</v>
      </c>
      <c r="AT433" t="s">
        <v>5036</v>
      </c>
      <c r="AU433">
        <v>2000</v>
      </c>
      <c r="AV433">
        <v>62</v>
      </c>
      <c r="AW433">
        <v>6</v>
      </c>
      <c r="AX433" t="s">
        <v>99</v>
      </c>
      <c r="AY433" t="s">
        <v>74</v>
      </c>
      <c r="AZ433" t="s">
        <v>74</v>
      </c>
      <c r="BA433" t="s">
        <v>74</v>
      </c>
      <c r="BB433">
        <v>8794</v>
      </c>
      <c r="BC433">
        <v>8797</v>
      </c>
      <c r="BD433" t="s">
        <v>74</v>
      </c>
      <c r="BE433" t="s">
        <v>6004</v>
      </c>
      <c r="BF433" t="str">
        <f>HYPERLINK("http://dx.doi.org/10.1103/PhysRevE.62.8794","http://dx.doi.org/10.1103/PhysRevE.62.8794")</f>
        <v>http://dx.doi.org/10.1103/PhysRevE.62.8794</v>
      </c>
      <c r="BG433" t="s">
        <v>74</v>
      </c>
      <c r="BH433" t="s">
        <v>74</v>
      </c>
      <c r="BI433">
        <v>4</v>
      </c>
      <c r="BJ433" t="s">
        <v>5992</v>
      </c>
      <c r="BK433" t="s">
        <v>94</v>
      </c>
      <c r="BL433" t="s">
        <v>1156</v>
      </c>
      <c r="BM433" t="s">
        <v>5993</v>
      </c>
      <c r="BN433">
        <v>11138184</v>
      </c>
      <c r="BO433" t="s">
        <v>74</v>
      </c>
      <c r="BP433" t="s">
        <v>74</v>
      </c>
      <c r="BQ433" t="s">
        <v>74</v>
      </c>
      <c r="BR433" t="s">
        <v>97</v>
      </c>
      <c r="BS433" t="s">
        <v>6005</v>
      </c>
      <c r="BT433" t="str">
        <f>HYPERLINK("https%3A%2F%2Fwww.webofscience.com%2Fwos%2Fwoscc%2Ffull-record%2FWOS:000165879500070","View Full Record in Web of Science")</f>
        <v>View Full Record in Web of Science</v>
      </c>
    </row>
    <row r="434" spans="1:72" x14ac:dyDescent="0.15">
      <c r="A434" t="s">
        <v>72</v>
      </c>
      <c r="B434" t="s">
        <v>6006</v>
      </c>
      <c r="C434" t="s">
        <v>74</v>
      </c>
      <c r="D434" t="s">
        <v>74</v>
      </c>
      <c r="E434" t="s">
        <v>74</v>
      </c>
      <c r="F434" t="s">
        <v>6006</v>
      </c>
      <c r="G434" t="s">
        <v>74</v>
      </c>
      <c r="H434" t="s">
        <v>74</v>
      </c>
      <c r="I434" t="s">
        <v>6007</v>
      </c>
      <c r="J434" t="s">
        <v>3842</v>
      </c>
      <c r="K434" t="s">
        <v>74</v>
      </c>
      <c r="L434" t="s">
        <v>74</v>
      </c>
      <c r="M434" t="s">
        <v>77</v>
      </c>
      <c r="N434" t="s">
        <v>78</v>
      </c>
      <c r="O434" t="s">
        <v>74</v>
      </c>
      <c r="P434" t="s">
        <v>74</v>
      </c>
      <c r="Q434" t="s">
        <v>74</v>
      </c>
      <c r="R434" t="s">
        <v>74</v>
      </c>
      <c r="S434" t="s">
        <v>74</v>
      </c>
      <c r="T434" t="s">
        <v>74</v>
      </c>
      <c r="U434" t="s">
        <v>6008</v>
      </c>
      <c r="V434" t="s">
        <v>6009</v>
      </c>
      <c r="W434" t="s">
        <v>6010</v>
      </c>
      <c r="X434" t="s">
        <v>6011</v>
      </c>
      <c r="Y434" t="s">
        <v>6012</v>
      </c>
      <c r="Z434" t="s">
        <v>6013</v>
      </c>
      <c r="AA434" t="s">
        <v>6014</v>
      </c>
      <c r="AB434" t="s">
        <v>6015</v>
      </c>
      <c r="AC434" t="s">
        <v>74</v>
      </c>
      <c r="AD434" t="s">
        <v>74</v>
      </c>
      <c r="AE434" t="s">
        <v>74</v>
      </c>
      <c r="AF434" t="s">
        <v>74</v>
      </c>
      <c r="AG434">
        <v>24</v>
      </c>
      <c r="AH434">
        <v>33</v>
      </c>
      <c r="AI434">
        <v>36</v>
      </c>
      <c r="AJ434">
        <v>0</v>
      </c>
      <c r="AK434">
        <v>7</v>
      </c>
      <c r="AL434" t="s">
        <v>906</v>
      </c>
      <c r="AM434" t="s">
        <v>160</v>
      </c>
      <c r="AN434" t="s">
        <v>928</v>
      </c>
      <c r="AO434" t="s">
        <v>3848</v>
      </c>
      <c r="AP434" t="s">
        <v>3871</v>
      </c>
      <c r="AQ434" t="s">
        <v>74</v>
      </c>
      <c r="AR434" t="s">
        <v>3849</v>
      </c>
      <c r="AS434" t="s">
        <v>3850</v>
      </c>
      <c r="AT434" t="s">
        <v>5036</v>
      </c>
      <c r="AU434">
        <v>2000</v>
      </c>
      <c r="AV434">
        <v>23</v>
      </c>
      <c r="AW434">
        <v>12</v>
      </c>
      <c r="AX434" t="s">
        <v>74</v>
      </c>
      <c r="AY434" t="s">
        <v>74</v>
      </c>
      <c r="AZ434" t="s">
        <v>74</v>
      </c>
      <c r="BA434" t="s">
        <v>74</v>
      </c>
      <c r="BB434">
        <v>817</v>
      </c>
      <c r="BC434">
        <v>824</v>
      </c>
      <c r="BD434" t="s">
        <v>74</v>
      </c>
      <c r="BE434" t="s">
        <v>6016</v>
      </c>
      <c r="BF434" t="str">
        <f>HYPERLINK("http://dx.doi.org/10.1007/s003000000158","http://dx.doi.org/10.1007/s003000000158")</f>
        <v>http://dx.doi.org/10.1007/s003000000158</v>
      </c>
      <c r="BG434" t="s">
        <v>74</v>
      </c>
      <c r="BH434" t="s">
        <v>74</v>
      </c>
      <c r="BI434">
        <v>8</v>
      </c>
      <c r="BJ434" t="s">
        <v>3852</v>
      </c>
      <c r="BK434" t="s">
        <v>94</v>
      </c>
      <c r="BL434" t="s">
        <v>1103</v>
      </c>
      <c r="BM434" t="s">
        <v>6017</v>
      </c>
      <c r="BN434" t="s">
        <v>74</v>
      </c>
      <c r="BO434" t="s">
        <v>74</v>
      </c>
      <c r="BP434" t="s">
        <v>74</v>
      </c>
      <c r="BQ434" t="s">
        <v>74</v>
      </c>
      <c r="BR434" t="s">
        <v>97</v>
      </c>
      <c r="BS434" t="s">
        <v>6018</v>
      </c>
      <c r="BT434" t="str">
        <f>HYPERLINK("https%3A%2F%2Fwww.webofscience.com%2Fwos%2Fwoscc%2Ffull-record%2FWOS:000165442500003","View Full Record in Web of Science")</f>
        <v>View Full Record in Web of Science</v>
      </c>
    </row>
    <row r="435" spans="1:72" x14ac:dyDescent="0.15">
      <c r="A435" t="s">
        <v>72</v>
      </c>
      <c r="B435" t="s">
        <v>6019</v>
      </c>
      <c r="C435" t="s">
        <v>74</v>
      </c>
      <c r="D435" t="s">
        <v>74</v>
      </c>
      <c r="E435" t="s">
        <v>74</v>
      </c>
      <c r="F435" t="s">
        <v>6019</v>
      </c>
      <c r="G435" t="s">
        <v>74</v>
      </c>
      <c r="H435" t="s">
        <v>74</v>
      </c>
      <c r="I435" t="s">
        <v>6020</v>
      </c>
      <c r="J435" t="s">
        <v>3842</v>
      </c>
      <c r="K435" t="s">
        <v>74</v>
      </c>
      <c r="L435" t="s">
        <v>74</v>
      </c>
      <c r="M435" t="s">
        <v>77</v>
      </c>
      <c r="N435" t="s">
        <v>78</v>
      </c>
      <c r="O435" t="s">
        <v>74</v>
      </c>
      <c r="P435" t="s">
        <v>74</v>
      </c>
      <c r="Q435" t="s">
        <v>74</v>
      </c>
      <c r="R435" t="s">
        <v>74</v>
      </c>
      <c r="S435" t="s">
        <v>74</v>
      </c>
      <c r="T435" t="s">
        <v>74</v>
      </c>
      <c r="U435" t="s">
        <v>6021</v>
      </c>
      <c r="V435" t="s">
        <v>6022</v>
      </c>
      <c r="W435" t="s">
        <v>6023</v>
      </c>
      <c r="X435" t="s">
        <v>74</v>
      </c>
      <c r="Y435" t="s">
        <v>6024</v>
      </c>
      <c r="Z435" t="s">
        <v>74</v>
      </c>
      <c r="AA435" t="s">
        <v>74</v>
      </c>
      <c r="AB435" t="s">
        <v>74</v>
      </c>
      <c r="AC435" t="s">
        <v>74</v>
      </c>
      <c r="AD435" t="s">
        <v>74</v>
      </c>
      <c r="AE435" t="s">
        <v>74</v>
      </c>
      <c r="AF435" t="s">
        <v>74</v>
      </c>
      <c r="AG435">
        <v>47</v>
      </c>
      <c r="AH435">
        <v>32</v>
      </c>
      <c r="AI435">
        <v>33</v>
      </c>
      <c r="AJ435">
        <v>0</v>
      </c>
      <c r="AK435">
        <v>3</v>
      </c>
      <c r="AL435" t="s">
        <v>159</v>
      </c>
      <c r="AM435" t="s">
        <v>160</v>
      </c>
      <c r="AN435" t="s">
        <v>161</v>
      </c>
      <c r="AO435" t="s">
        <v>3848</v>
      </c>
      <c r="AP435" t="s">
        <v>74</v>
      </c>
      <c r="AQ435" t="s">
        <v>74</v>
      </c>
      <c r="AR435" t="s">
        <v>3849</v>
      </c>
      <c r="AS435" t="s">
        <v>3850</v>
      </c>
      <c r="AT435" t="s">
        <v>5036</v>
      </c>
      <c r="AU435">
        <v>2000</v>
      </c>
      <c r="AV435">
        <v>23</v>
      </c>
      <c r="AW435">
        <v>12</v>
      </c>
      <c r="AX435" t="s">
        <v>74</v>
      </c>
      <c r="AY435" t="s">
        <v>74</v>
      </c>
      <c r="AZ435" t="s">
        <v>74</v>
      </c>
      <c r="BA435" t="s">
        <v>74</v>
      </c>
      <c r="BB435">
        <v>825</v>
      </c>
      <c r="BC435">
        <v>832</v>
      </c>
      <c r="BD435" t="s">
        <v>74</v>
      </c>
      <c r="BE435" t="s">
        <v>6025</v>
      </c>
      <c r="BF435" t="str">
        <f>HYPERLINK("http://dx.doi.org/10.1007/s003000000159","http://dx.doi.org/10.1007/s003000000159")</f>
        <v>http://dx.doi.org/10.1007/s003000000159</v>
      </c>
      <c r="BG435" t="s">
        <v>74</v>
      </c>
      <c r="BH435" t="s">
        <v>74</v>
      </c>
      <c r="BI435">
        <v>8</v>
      </c>
      <c r="BJ435" t="s">
        <v>3852</v>
      </c>
      <c r="BK435" t="s">
        <v>94</v>
      </c>
      <c r="BL435" t="s">
        <v>1103</v>
      </c>
      <c r="BM435" t="s">
        <v>6017</v>
      </c>
      <c r="BN435" t="s">
        <v>74</v>
      </c>
      <c r="BO435" t="s">
        <v>74</v>
      </c>
      <c r="BP435" t="s">
        <v>74</v>
      </c>
      <c r="BQ435" t="s">
        <v>74</v>
      </c>
      <c r="BR435" t="s">
        <v>97</v>
      </c>
      <c r="BS435" t="s">
        <v>6026</v>
      </c>
      <c r="BT435" t="str">
        <f>HYPERLINK("https%3A%2F%2Fwww.webofscience.com%2Fwos%2Fwoscc%2Ffull-record%2FWOS:000165442500004","View Full Record in Web of Science")</f>
        <v>View Full Record in Web of Science</v>
      </c>
    </row>
    <row r="436" spans="1:72" x14ac:dyDescent="0.15">
      <c r="A436" t="s">
        <v>72</v>
      </c>
      <c r="B436" t="s">
        <v>6027</v>
      </c>
      <c r="C436" t="s">
        <v>74</v>
      </c>
      <c r="D436" t="s">
        <v>74</v>
      </c>
      <c r="E436" t="s">
        <v>74</v>
      </c>
      <c r="F436" t="s">
        <v>6027</v>
      </c>
      <c r="G436" t="s">
        <v>74</v>
      </c>
      <c r="H436" t="s">
        <v>74</v>
      </c>
      <c r="I436" t="s">
        <v>6028</v>
      </c>
      <c r="J436" t="s">
        <v>3842</v>
      </c>
      <c r="K436" t="s">
        <v>74</v>
      </c>
      <c r="L436" t="s">
        <v>74</v>
      </c>
      <c r="M436" t="s">
        <v>77</v>
      </c>
      <c r="N436" t="s">
        <v>78</v>
      </c>
      <c r="O436" t="s">
        <v>74</v>
      </c>
      <c r="P436" t="s">
        <v>74</v>
      </c>
      <c r="Q436" t="s">
        <v>74</v>
      </c>
      <c r="R436" t="s">
        <v>74</v>
      </c>
      <c r="S436" t="s">
        <v>74</v>
      </c>
      <c r="T436" t="s">
        <v>74</v>
      </c>
      <c r="U436" t="s">
        <v>6029</v>
      </c>
      <c r="V436" t="s">
        <v>6030</v>
      </c>
      <c r="W436" t="s">
        <v>3869</v>
      </c>
      <c r="X436" t="s">
        <v>667</v>
      </c>
      <c r="Y436" t="s">
        <v>6031</v>
      </c>
      <c r="Z436" t="s">
        <v>74</v>
      </c>
      <c r="AA436" t="s">
        <v>6032</v>
      </c>
      <c r="AB436" t="s">
        <v>6033</v>
      </c>
      <c r="AC436" t="s">
        <v>74</v>
      </c>
      <c r="AD436" t="s">
        <v>74</v>
      </c>
      <c r="AE436" t="s">
        <v>74</v>
      </c>
      <c r="AF436" t="s">
        <v>74</v>
      </c>
      <c r="AG436">
        <v>37</v>
      </c>
      <c r="AH436">
        <v>46</v>
      </c>
      <c r="AI436">
        <v>49</v>
      </c>
      <c r="AJ436">
        <v>0</v>
      </c>
      <c r="AK436">
        <v>14</v>
      </c>
      <c r="AL436" t="s">
        <v>159</v>
      </c>
      <c r="AM436" t="s">
        <v>160</v>
      </c>
      <c r="AN436" t="s">
        <v>161</v>
      </c>
      <c r="AO436" t="s">
        <v>3848</v>
      </c>
      <c r="AP436" t="s">
        <v>74</v>
      </c>
      <c r="AQ436" t="s">
        <v>74</v>
      </c>
      <c r="AR436" t="s">
        <v>3849</v>
      </c>
      <c r="AS436" t="s">
        <v>3850</v>
      </c>
      <c r="AT436" t="s">
        <v>5036</v>
      </c>
      <c r="AU436">
        <v>2000</v>
      </c>
      <c r="AV436">
        <v>23</v>
      </c>
      <c r="AW436">
        <v>12</v>
      </c>
      <c r="AX436" t="s">
        <v>74</v>
      </c>
      <c r="AY436" t="s">
        <v>74</v>
      </c>
      <c r="AZ436" t="s">
        <v>74</v>
      </c>
      <c r="BA436" t="s">
        <v>74</v>
      </c>
      <c r="BB436">
        <v>840</v>
      </c>
      <c r="BC436">
        <v>850</v>
      </c>
      <c r="BD436" t="s">
        <v>74</v>
      </c>
      <c r="BE436" t="s">
        <v>6034</v>
      </c>
      <c r="BF436" t="str">
        <f>HYPERLINK("http://dx.doi.org/10.1007/s003000000162","http://dx.doi.org/10.1007/s003000000162")</f>
        <v>http://dx.doi.org/10.1007/s003000000162</v>
      </c>
      <c r="BG436" t="s">
        <v>74</v>
      </c>
      <c r="BH436" t="s">
        <v>74</v>
      </c>
      <c r="BI436">
        <v>11</v>
      </c>
      <c r="BJ436" t="s">
        <v>3852</v>
      </c>
      <c r="BK436" t="s">
        <v>94</v>
      </c>
      <c r="BL436" t="s">
        <v>1103</v>
      </c>
      <c r="BM436" t="s">
        <v>6017</v>
      </c>
      <c r="BN436" t="s">
        <v>74</v>
      </c>
      <c r="BO436" t="s">
        <v>74</v>
      </c>
      <c r="BP436" t="s">
        <v>74</v>
      </c>
      <c r="BQ436" t="s">
        <v>74</v>
      </c>
      <c r="BR436" t="s">
        <v>97</v>
      </c>
      <c r="BS436" t="s">
        <v>6035</v>
      </c>
      <c r="BT436" t="str">
        <f>HYPERLINK("https%3A%2F%2Fwww.webofscience.com%2Fwos%2Fwoscc%2Ffull-record%2FWOS:000165442500006","View Full Record in Web of Science")</f>
        <v>View Full Record in Web of Science</v>
      </c>
    </row>
    <row r="437" spans="1:72" x14ac:dyDescent="0.15">
      <c r="A437" t="s">
        <v>72</v>
      </c>
      <c r="B437" t="s">
        <v>6036</v>
      </c>
      <c r="C437" t="s">
        <v>74</v>
      </c>
      <c r="D437" t="s">
        <v>74</v>
      </c>
      <c r="E437" t="s">
        <v>74</v>
      </c>
      <c r="F437" t="s">
        <v>6036</v>
      </c>
      <c r="G437" t="s">
        <v>74</v>
      </c>
      <c r="H437" t="s">
        <v>74</v>
      </c>
      <c r="I437" t="s">
        <v>6037</v>
      </c>
      <c r="J437" t="s">
        <v>6038</v>
      </c>
      <c r="K437" t="s">
        <v>74</v>
      </c>
      <c r="L437" t="s">
        <v>74</v>
      </c>
      <c r="M437" t="s">
        <v>77</v>
      </c>
      <c r="N437" t="s">
        <v>78</v>
      </c>
      <c r="O437" t="s">
        <v>74</v>
      </c>
      <c r="P437" t="s">
        <v>74</v>
      </c>
      <c r="Q437" t="s">
        <v>74</v>
      </c>
      <c r="R437" t="s">
        <v>74</v>
      </c>
      <c r="S437" t="s">
        <v>74</v>
      </c>
      <c r="T437" t="s">
        <v>6039</v>
      </c>
      <c r="U437" t="s">
        <v>6040</v>
      </c>
      <c r="V437" t="s">
        <v>6041</v>
      </c>
      <c r="W437" t="s">
        <v>6042</v>
      </c>
      <c r="X437" t="s">
        <v>6043</v>
      </c>
      <c r="Y437" t="s">
        <v>6044</v>
      </c>
      <c r="Z437" t="s">
        <v>74</v>
      </c>
      <c r="AA437" t="s">
        <v>6045</v>
      </c>
      <c r="AB437" t="s">
        <v>6046</v>
      </c>
      <c r="AC437" t="s">
        <v>74</v>
      </c>
      <c r="AD437" t="s">
        <v>74</v>
      </c>
      <c r="AE437" t="s">
        <v>74</v>
      </c>
      <c r="AF437" t="s">
        <v>74</v>
      </c>
      <c r="AG437">
        <v>11</v>
      </c>
      <c r="AH437">
        <v>18</v>
      </c>
      <c r="AI437">
        <v>18</v>
      </c>
      <c r="AJ437">
        <v>1</v>
      </c>
      <c r="AK437">
        <v>3</v>
      </c>
      <c r="AL437" t="s">
        <v>669</v>
      </c>
      <c r="AM437" t="s">
        <v>670</v>
      </c>
      <c r="AN437" t="s">
        <v>671</v>
      </c>
      <c r="AO437" t="s">
        <v>6047</v>
      </c>
      <c r="AP437" t="s">
        <v>74</v>
      </c>
      <c r="AQ437" t="s">
        <v>74</v>
      </c>
      <c r="AR437" t="s">
        <v>6048</v>
      </c>
      <c r="AS437" t="s">
        <v>6049</v>
      </c>
      <c r="AT437" t="s">
        <v>5036</v>
      </c>
      <c r="AU437">
        <v>2000</v>
      </c>
      <c r="AV437">
        <v>17</v>
      </c>
      <c r="AW437">
        <v>3</v>
      </c>
      <c r="AX437" t="s">
        <v>74</v>
      </c>
      <c r="AY437" t="s">
        <v>74</v>
      </c>
      <c r="AZ437" t="s">
        <v>74</v>
      </c>
      <c r="BA437" t="s">
        <v>74</v>
      </c>
      <c r="BB437">
        <v>260</v>
      </c>
      <c r="BC437">
        <v>269</v>
      </c>
      <c r="BD437" t="s">
        <v>74</v>
      </c>
      <c r="BE437" t="s">
        <v>6050</v>
      </c>
      <c r="BF437" t="str">
        <f>HYPERLINK("http://dx.doi.org/10.1071/AS00033","http://dx.doi.org/10.1071/AS00033")</f>
        <v>http://dx.doi.org/10.1071/AS00033</v>
      </c>
      <c r="BG437" t="s">
        <v>74</v>
      </c>
      <c r="BH437" t="s">
        <v>74</v>
      </c>
      <c r="BI437">
        <v>10</v>
      </c>
      <c r="BJ437" t="s">
        <v>909</v>
      </c>
      <c r="BK437" t="s">
        <v>94</v>
      </c>
      <c r="BL437" t="s">
        <v>909</v>
      </c>
      <c r="BM437" t="s">
        <v>6051</v>
      </c>
      <c r="BN437" t="s">
        <v>74</v>
      </c>
      <c r="BO437" t="s">
        <v>1068</v>
      </c>
      <c r="BP437" t="s">
        <v>74</v>
      </c>
      <c r="BQ437" t="s">
        <v>74</v>
      </c>
      <c r="BR437" t="s">
        <v>97</v>
      </c>
      <c r="BS437" t="s">
        <v>6052</v>
      </c>
      <c r="BT437" t="str">
        <f>HYPERLINK("https%3A%2F%2Fwww.webofscience.com%2Fwos%2Fwoscc%2Ffull-record%2FWOS:000168579500009","View Full Record in Web of Science")</f>
        <v>View Full Record in Web of Science</v>
      </c>
    </row>
    <row r="438" spans="1:72" x14ac:dyDescent="0.15">
      <c r="A438" t="s">
        <v>72</v>
      </c>
      <c r="B438" t="s">
        <v>6053</v>
      </c>
      <c r="C438" t="s">
        <v>74</v>
      </c>
      <c r="D438" t="s">
        <v>74</v>
      </c>
      <c r="E438" t="s">
        <v>74</v>
      </c>
      <c r="F438" t="s">
        <v>6053</v>
      </c>
      <c r="G438" t="s">
        <v>74</v>
      </c>
      <c r="H438" t="s">
        <v>74</v>
      </c>
      <c r="I438" t="s">
        <v>6054</v>
      </c>
      <c r="J438" t="s">
        <v>6055</v>
      </c>
      <c r="K438" t="s">
        <v>74</v>
      </c>
      <c r="L438" t="s">
        <v>74</v>
      </c>
      <c r="M438" t="s">
        <v>77</v>
      </c>
      <c r="N438" t="s">
        <v>78</v>
      </c>
      <c r="O438" t="s">
        <v>74</v>
      </c>
      <c r="P438" t="s">
        <v>74</v>
      </c>
      <c r="Q438" t="s">
        <v>74</v>
      </c>
      <c r="R438" t="s">
        <v>74</v>
      </c>
      <c r="S438" t="s">
        <v>74</v>
      </c>
      <c r="T438" t="s">
        <v>6056</v>
      </c>
      <c r="U438" t="s">
        <v>6057</v>
      </c>
      <c r="V438" t="s">
        <v>6058</v>
      </c>
      <c r="W438" t="s">
        <v>6059</v>
      </c>
      <c r="X438" t="s">
        <v>6060</v>
      </c>
      <c r="Y438" t="s">
        <v>6061</v>
      </c>
      <c r="Z438" t="s">
        <v>6062</v>
      </c>
      <c r="AA438" t="s">
        <v>74</v>
      </c>
      <c r="AB438" t="s">
        <v>6063</v>
      </c>
      <c r="AC438" t="s">
        <v>74</v>
      </c>
      <c r="AD438" t="s">
        <v>74</v>
      </c>
      <c r="AE438" t="s">
        <v>74</v>
      </c>
      <c r="AF438" t="s">
        <v>74</v>
      </c>
      <c r="AG438">
        <v>35</v>
      </c>
      <c r="AH438">
        <v>17</v>
      </c>
      <c r="AI438">
        <v>20</v>
      </c>
      <c r="AJ438">
        <v>0</v>
      </c>
      <c r="AK438">
        <v>3</v>
      </c>
      <c r="AL438" t="s">
        <v>1120</v>
      </c>
      <c r="AM438" t="s">
        <v>1121</v>
      </c>
      <c r="AN438" t="s">
        <v>2394</v>
      </c>
      <c r="AO438" t="s">
        <v>6064</v>
      </c>
      <c r="AP438" t="s">
        <v>6065</v>
      </c>
      <c r="AQ438" t="s">
        <v>74</v>
      </c>
      <c r="AR438" t="s">
        <v>6066</v>
      </c>
      <c r="AS438" t="s">
        <v>6067</v>
      </c>
      <c r="AT438" t="s">
        <v>5036</v>
      </c>
      <c r="AU438">
        <v>2000</v>
      </c>
      <c r="AV438">
        <v>113</v>
      </c>
      <c r="AW438" t="s">
        <v>1257</v>
      </c>
      <c r="AX438" t="s">
        <v>74</v>
      </c>
      <c r="AY438" t="s">
        <v>74</v>
      </c>
      <c r="AZ438" t="s">
        <v>74</v>
      </c>
      <c r="BA438" t="s">
        <v>74</v>
      </c>
      <c r="BB438">
        <v>197</v>
      </c>
      <c r="BC438">
        <v>212</v>
      </c>
      <c r="BD438" t="s">
        <v>74</v>
      </c>
      <c r="BE438" t="s">
        <v>6068</v>
      </c>
      <c r="BF438" t="str">
        <f>HYPERLINK("http://dx.doi.org/10.1016/S0034-6667(00)00060-9","http://dx.doi.org/10.1016/S0034-6667(00)00060-9")</f>
        <v>http://dx.doi.org/10.1016/S0034-6667(00)00060-9</v>
      </c>
      <c r="BG438" t="s">
        <v>74</v>
      </c>
      <c r="BH438" t="s">
        <v>74</v>
      </c>
      <c r="BI438">
        <v>16</v>
      </c>
      <c r="BJ438" t="s">
        <v>6069</v>
      </c>
      <c r="BK438" t="s">
        <v>94</v>
      </c>
      <c r="BL438" t="s">
        <v>6069</v>
      </c>
      <c r="BM438" t="s">
        <v>6070</v>
      </c>
      <c r="BN438">
        <v>11164220</v>
      </c>
      <c r="BO438" t="s">
        <v>74</v>
      </c>
      <c r="BP438" t="s">
        <v>74</v>
      </c>
      <c r="BQ438" t="s">
        <v>74</v>
      </c>
      <c r="BR438" t="s">
        <v>97</v>
      </c>
      <c r="BS438" t="s">
        <v>6071</v>
      </c>
      <c r="BT438" t="str">
        <f>HYPERLINK("https%3A%2F%2Fwww.webofscience.com%2Fwos%2Fwoscc%2Ffull-record%2FWOS:000166767500013","View Full Record in Web of Science")</f>
        <v>View Full Record in Web of Science</v>
      </c>
    </row>
    <row r="439" spans="1:72" x14ac:dyDescent="0.15">
      <c r="A439" t="s">
        <v>72</v>
      </c>
      <c r="B439" t="s">
        <v>6072</v>
      </c>
      <c r="C439" t="s">
        <v>74</v>
      </c>
      <c r="D439" t="s">
        <v>74</v>
      </c>
      <c r="E439" t="s">
        <v>74</v>
      </c>
      <c r="F439" t="s">
        <v>6072</v>
      </c>
      <c r="G439" t="s">
        <v>74</v>
      </c>
      <c r="H439" t="s">
        <v>74</v>
      </c>
      <c r="I439" t="s">
        <v>6073</v>
      </c>
      <c r="J439" t="s">
        <v>6074</v>
      </c>
      <c r="K439" t="s">
        <v>74</v>
      </c>
      <c r="L439" t="s">
        <v>74</v>
      </c>
      <c r="M439" t="s">
        <v>77</v>
      </c>
      <c r="N439" t="s">
        <v>78</v>
      </c>
      <c r="O439" t="s">
        <v>74</v>
      </c>
      <c r="P439" t="s">
        <v>74</v>
      </c>
      <c r="Q439" t="s">
        <v>74</v>
      </c>
      <c r="R439" t="s">
        <v>74</v>
      </c>
      <c r="S439" t="s">
        <v>74</v>
      </c>
      <c r="T439" t="s">
        <v>6075</v>
      </c>
      <c r="U439" t="s">
        <v>6076</v>
      </c>
      <c r="V439" t="s">
        <v>6077</v>
      </c>
      <c r="W439" t="s">
        <v>6078</v>
      </c>
      <c r="X439" t="s">
        <v>6079</v>
      </c>
      <c r="Y439" t="s">
        <v>6080</v>
      </c>
      <c r="Z439" t="s">
        <v>6081</v>
      </c>
      <c r="AA439" t="s">
        <v>6082</v>
      </c>
      <c r="AB439" t="s">
        <v>6083</v>
      </c>
      <c r="AC439" t="s">
        <v>74</v>
      </c>
      <c r="AD439" t="s">
        <v>74</v>
      </c>
      <c r="AE439" t="s">
        <v>74</v>
      </c>
      <c r="AF439" t="s">
        <v>74</v>
      </c>
      <c r="AG439">
        <v>40</v>
      </c>
      <c r="AH439">
        <v>25</v>
      </c>
      <c r="AI439">
        <v>28</v>
      </c>
      <c r="AJ439">
        <v>0</v>
      </c>
      <c r="AK439">
        <v>1</v>
      </c>
      <c r="AL439" t="s">
        <v>6084</v>
      </c>
      <c r="AM439" t="s">
        <v>6085</v>
      </c>
      <c r="AN439" t="s">
        <v>6086</v>
      </c>
      <c r="AO439" t="s">
        <v>6087</v>
      </c>
      <c r="AP439" t="s">
        <v>6088</v>
      </c>
      <c r="AQ439" t="s">
        <v>74</v>
      </c>
      <c r="AR439" t="s">
        <v>6089</v>
      </c>
      <c r="AS439" t="s">
        <v>6090</v>
      </c>
      <c r="AT439" t="s">
        <v>5036</v>
      </c>
      <c r="AU439">
        <v>2000</v>
      </c>
      <c r="AV439">
        <v>106</v>
      </c>
      <c r="AW439">
        <v>3</v>
      </c>
      <c r="AX439" t="s">
        <v>74</v>
      </c>
      <c r="AY439" t="s">
        <v>74</v>
      </c>
      <c r="AZ439" t="s">
        <v>74</v>
      </c>
      <c r="BA439" t="s">
        <v>74</v>
      </c>
      <c r="BB439">
        <v>379</v>
      </c>
      <c r="BC439">
        <v>390</v>
      </c>
      <c r="BD439" t="s">
        <v>74</v>
      </c>
      <c r="BE439" t="s">
        <v>6091</v>
      </c>
      <c r="BF439" t="str">
        <f>HYPERLINK("http://dx.doi.org/10.13130/2039-4942/6152","http://dx.doi.org/10.13130/2039-4942/6152")</f>
        <v>http://dx.doi.org/10.13130/2039-4942/6152</v>
      </c>
      <c r="BG439" t="s">
        <v>74</v>
      </c>
      <c r="BH439" t="s">
        <v>74</v>
      </c>
      <c r="BI439">
        <v>12</v>
      </c>
      <c r="BJ439" t="s">
        <v>4530</v>
      </c>
      <c r="BK439" t="s">
        <v>94</v>
      </c>
      <c r="BL439" t="s">
        <v>4530</v>
      </c>
      <c r="BM439" t="s">
        <v>6092</v>
      </c>
      <c r="BN439" t="s">
        <v>74</v>
      </c>
      <c r="BO439" t="s">
        <v>74</v>
      </c>
      <c r="BP439" t="s">
        <v>74</v>
      </c>
      <c r="BQ439" t="s">
        <v>74</v>
      </c>
      <c r="BR439" t="s">
        <v>97</v>
      </c>
      <c r="BS439" t="s">
        <v>6093</v>
      </c>
      <c r="BT439" t="str">
        <f>HYPERLINK("https%3A%2F%2Fwww.webofscience.com%2Fwos%2Fwoscc%2Ffull-record%2FWOS:000166376300008","View Full Record in Web of Science")</f>
        <v>View Full Record in Web of Science</v>
      </c>
    </row>
    <row r="440" spans="1:72" x14ac:dyDescent="0.15">
      <c r="A440" t="s">
        <v>72</v>
      </c>
      <c r="B440" t="s">
        <v>6094</v>
      </c>
      <c r="C440" t="s">
        <v>74</v>
      </c>
      <c r="D440" t="s">
        <v>74</v>
      </c>
      <c r="E440" t="s">
        <v>74</v>
      </c>
      <c r="F440" t="s">
        <v>6094</v>
      </c>
      <c r="G440" t="s">
        <v>74</v>
      </c>
      <c r="H440" t="s">
        <v>74</v>
      </c>
      <c r="I440" t="s">
        <v>6095</v>
      </c>
      <c r="J440" t="s">
        <v>6096</v>
      </c>
      <c r="K440" t="s">
        <v>74</v>
      </c>
      <c r="L440" t="s">
        <v>74</v>
      </c>
      <c r="M440" t="s">
        <v>77</v>
      </c>
      <c r="N440" t="s">
        <v>576</v>
      </c>
      <c r="O440" t="s">
        <v>6097</v>
      </c>
      <c r="P440" t="s">
        <v>6098</v>
      </c>
      <c r="Q440" t="s">
        <v>6099</v>
      </c>
      <c r="R440" t="s">
        <v>74</v>
      </c>
      <c r="S440" t="s">
        <v>6100</v>
      </c>
      <c r="T440" t="s">
        <v>6101</v>
      </c>
      <c r="U440" t="s">
        <v>6102</v>
      </c>
      <c r="V440" t="s">
        <v>6103</v>
      </c>
      <c r="W440" t="s">
        <v>6104</v>
      </c>
      <c r="X440" t="s">
        <v>6105</v>
      </c>
      <c r="Y440" t="s">
        <v>6106</v>
      </c>
      <c r="Z440" t="s">
        <v>74</v>
      </c>
      <c r="AA440" t="s">
        <v>74</v>
      </c>
      <c r="AB440" t="s">
        <v>74</v>
      </c>
      <c r="AC440" t="s">
        <v>74</v>
      </c>
      <c r="AD440" t="s">
        <v>74</v>
      </c>
      <c r="AE440" t="s">
        <v>74</v>
      </c>
      <c r="AF440" t="s">
        <v>74</v>
      </c>
      <c r="AG440">
        <v>29</v>
      </c>
      <c r="AH440">
        <v>11</v>
      </c>
      <c r="AI440">
        <v>11</v>
      </c>
      <c r="AJ440">
        <v>0</v>
      </c>
      <c r="AK440">
        <v>6</v>
      </c>
      <c r="AL440" t="s">
        <v>6107</v>
      </c>
      <c r="AM440" t="s">
        <v>4135</v>
      </c>
      <c r="AN440" t="s">
        <v>6108</v>
      </c>
      <c r="AO440" t="s">
        <v>6109</v>
      </c>
      <c r="AP440" t="s">
        <v>74</v>
      </c>
      <c r="AQ440" t="s">
        <v>74</v>
      </c>
      <c r="AR440" t="s">
        <v>6110</v>
      </c>
      <c r="AS440" t="s">
        <v>6111</v>
      </c>
      <c r="AT440" t="s">
        <v>5036</v>
      </c>
      <c r="AU440">
        <v>2000</v>
      </c>
      <c r="AV440">
        <v>64</v>
      </c>
      <c r="AW440" t="s">
        <v>74</v>
      </c>
      <c r="AX440" t="s">
        <v>74</v>
      </c>
      <c r="AY440">
        <v>1</v>
      </c>
      <c r="AZ440" t="s">
        <v>74</v>
      </c>
      <c r="BA440" t="s">
        <v>74</v>
      </c>
      <c r="BB440">
        <v>97</v>
      </c>
      <c r="BC440">
        <v>106</v>
      </c>
      <c r="BD440" t="s">
        <v>74</v>
      </c>
      <c r="BE440" t="s">
        <v>74</v>
      </c>
      <c r="BF440" t="s">
        <v>74</v>
      </c>
      <c r="BG440" t="s">
        <v>74</v>
      </c>
      <c r="BH440" t="s">
        <v>74</v>
      </c>
      <c r="BI440">
        <v>10</v>
      </c>
      <c r="BJ440" t="s">
        <v>1259</v>
      </c>
      <c r="BK440" t="s">
        <v>596</v>
      </c>
      <c r="BL440" t="s">
        <v>1259</v>
      </c>
      <c r="BM440" t="s">
        <v>6112</v>
      </c>
      <c r="BN440" t="s">
        <v>74</v>
      </c>
      <c r="BO440" t="s">
        <v>74</v>
      </c>
      <c r="BP440" t="s">
        <v>74</v>
      </c>
      <c r="BQ440" t="s">
        <v>74</v>
      </c>
      <c r="BR440" t="s">
        <v>97</v>
      </c>
      <c r="BS440" t="s">
        <v>6113</v>
      </c>
      <c r="BT440" t="str">
        <f>HYPERLINK("https%3A%2F%2Fwww.webofscience.com%2Fwos%2Fwoscc%2Ffull-record%2FWOS:000167332700010","View Full Record in Web of Science")</f>
        <v>View Full Record in Web of Science</v>
      </c>
    </row>
    <row r="441" spans="1:72" x14ac:dyDescent="0.15">
      <c r="A441" t="s">
        <v>72</v>
      </c>
      <c r="B441" t="s">
        <v>6114</v>
      </c>
      <c r="C441" t="s">
        <v>74</v>
      </c>
      <c r="D441" t="s">
        <v>74</v>
      </c>
      <c r="E441" t="s">
        <v>74</v>
      </c>
      <c r="F441" t="s">
        <v>6114</v>
      </c>
      <c r="G441" t="s">
        <v>74</v>
      </c>
      <c r="H441" t="s">
        <v>74</v>
      </c>
      <c r="I441" t="s">
        <v>6115</v>
      </c>
      <c r="J441" t="s">
        <v>6096</v>
      </c>
      <c r="K441" t="s">
        <v>74</v>
      </c>
      <c r="L441" t="s">
        <v>74</v>
      </c>
      <c r="M441" t="s">
        <v>77</v>
      </c>
      <c r="N441" t="s">
        <v>576</v>
      </c>
      <c r="O441" t="s">
        <v>6097</v>
      </c>
      <c r="P441" t="s">
        <v>6098</v>
      </c>
      <c r="Q441" t="s">
        <v>6099</v>
      </c>
      <c r="R441" t="s">
        <v>74</v>
      </c>
      <c r="S441" t="s">
        <v>6100</v>
      </c>
      <c r="T441" t="s">
        <v>6116</v>
      </c>
      <c r="U441" t="s">
        <v>74</v>
      </c>
      <c r="V441" t="s">
        <v>6117</v>
      </c>
      <c r="W441" t="s">
        <v>6118</v>
      </c>
      <c r="X441" t="s">
        <v>74</v>
      </c>
      <c r="Y441" t="s">
        <v>6119</v>
      </c>
      <c r="Z441" t="s">
        <v>74</v>
      </c>
      <c r="AA441" t="s">
        <v>74</v>
      </c>
      <c r="AB441" t="s">
        <v>74</v>
      </c>
      <c r="AC441" t="s">
        <v>74</v>
      </c>
      <c r="AD441" t="s">
        <v>74</v>
      </c>
      <c r="AE441" t="s">
        <v>74</v>
      </c>
      <c r="AF441" t="s">
        <v>74</v>
      </c>
      <c r="AG441">
        <v>12</v>
      </c>
      <c r="AH441">
        <v>0</v>
      </c>
      <c r="AI441">
        <v>0</v>
      </c>
      <c r="AJ441">
        <v>0</v>
      </c>
      <c r="AK441">
        <v>1</v>
      </c>
      <c r="AL441" t="s">
        <v>6107</v>
      </c>
      <c r="AM441" t="s">
        <v>4135</v>
      </c>
      <c r="AN441" t="s">
        <v>6108</v>
      </c>
      <c r="AO441" t="s">
        <v>6109</v>
      </c>
      <c r="AP441" t="s">
        <v>74</v>
      </c>
      <c r="AQ441" t="s">
        <v>74</v>
      </c>
      <c r="AR441" t="s">
        <v>6110</v>
      </c>
      <c r="AS441" t="s">
        <v>6111</v>
      </c>
      <c r="AT441" t="s">
        <v>5036</v>
      </c>
      <c r="AU441">
        <v>2000</v>
      </c>
      <c r="AV441">
        <v>64</v>
      </c>
      <c r="AW441" t="s">
        <v>74</v>
      </c>
      <c r="AX441" t="s">
        <v>74</v>
      </c>
      <c r="AY441">
        <v>1</v>
      </c>
      <c r="AZ441" t="s">
        <v>74</v>
      </c>
      <c r="BA441" t="s">
        <v>74</v>
      </c>
      <c r="BB441">
        <v>237</v>
      </c>
      <c r="BC441">
        <v>240</v>
      </c>
      <c r="BD441" t="s">
        <v>74</v>
      </c>
      <c r="BE441" t="s">
        <v>6120</v>
      </c>
      <c r="BF441" t="str">
        <f>HYPERLINK("http://dx.doi.org/10.3989/scimar.2000.64s1237","http://dx.doi.org/10.3989/scimar.2000.64s1237")</f>
        <v>http://dx.doi.org/10.3989/scimar.2000.64s1237</v>
      </c>
      <c r="BG441" t="s">
        <v>74</v>
      </c>
      <c r="BH441" t="s">
        <v>74</v>
      </c>
      <c r="BI441">
        <v>4</v>
      </c>
      <c r="BJ441" t="s">
        <v>1259</v>
      </c>
      <c r="BK441" t="s">
        <v>596</v>
      </c>
      <c r="BL441" t="s">
        <v>1259</v>
      </c>
      <c r="BM441" t="s">
        <v>6112</v>
      </c>
      <c r="BN441" t="s">
        <v>74</v>
      </c>
      <c r="BO441" t="s">
        <v>599</v>
      </c>
      <c r="BP441" t="s">
        <v>74</v>
      </c>
      <c r="BQ441" t="s">
        <v>74</v>
      </c>
      <c r="BR441" t="s">
        <v>97</v>
      </c>
      <c r="BS441" t="s">
        <v>6121</v>
      </c>
      <c r="BT441" t="str">
        <f>HYPERLINK("https%3A%2F%2Fwww.webofscience.com%2Fwos%2Fwoscc%2Ffull-record%2FWOS:000167332700027","View Full Record in Web of Science")</f>
        <v>View Full Record in Web of Science</v>
      </c>
    </row>
    <row r="442" spans="1:72" x14ac:dyDescent="0.15">
      <c r="A442" t="s">
        <v>72</v>
      </c>
      <c r="B442" t="s">
        <v>6122</v>
      </c>
      <c r="C442" t="s">
        <v>74</v>
      </c>
      <c r="D442" t="s">
        <v>74</v>
      </c>
      <c r="E442" t="s">
        <v>74</v>
      </c>
      <c r="F442" t="s">
        <v>6122</v>
      </c>
      <c r="G442" t="s">
        <v>74</v>
      </c>
      <c r="H442" t="s">
        <v>74</v>
      </c>
      <c r="I442" t="s">
        <v>6123</v>
      </c>
      <c r="J442" t="s">
        <v>6124</v>
      </c>
      <c r="K442" t="s">
        <v>74</v>
      </c>
      <c r="L442" t="s">
        <v>74</v>
      </c>
      <c r="M442" t="s">
        <v>77</v>
      </c>
      <c r="N442" t="s">
        <v>78</v>
      </c>
      <c r="O442" t="s">
        <v>74</v>
      </c>
      <c r="P442" t="s">
        <v>74</v>
      </c>
      <c r="Q442" t="s">
        <v>74</v>
      </c>
      <c r="R442" t="s">
        <v>74</v>
      </c>
      <c r="S442" t="s">
        <v>74</v>
      </c>
      <c r="T442" t="s">
        <v>74</v>
      </c>
      <c r="U442" t="s">
        <v>6125</v>
      </c>
      <c r="V442" t="s">
        <v>6126</v>
      </c>
      <c r="W442" t="s">
        <v>6127</v>
      </c>
      <c r="X442" t="s">
        <v>6128</v>
      </c>
      <c r="Y442" t="s">
        <v>6129</v>
      </c>
      <c r="Z442" t="s">
        <v>74</v>
      </c>
      <c r="AA442" t="s">
        <v>6130</v>
      </c>
      <c r="AB442" t="s">
        <v>6131</v>
      </c>
      <c r="AC442" t="s">
        <v>74</v>
      </c>
      <c r="AD442" t="s">
        <v>74</v>
      </c>
      <c r="AE442" t="s">
        <v>74</v>
      </c>
      <c r="AF442" t="s">
        <v>74</v>
      </c>
      <c r="AG442">
        <v>45</v>
      </c>
      <c r="AH442">
        <v>21</v>
      </c>
      <c r="AI442">
        <v>23</v>
      </c>
      <c r="AJ442">
        <v>0</v>
      </c>
      <c r="AK442">
        <v>9</v>
      </c>
      <c r="AL442" t="s">
        <v>6132</v>
      </c>
      <c r="AM442" t="s">
        <v>6133</v>
      </c>
      <c r="AN442" t="s">
        <v>6134</v>
      </c>
      <c r="AO442" t="s">
        <v>6135</v>
      </c>
      <c r="AP442" t="s">
        <v>74</v>
      </c>
      <c r="AQ442" t="s">
        <v>74</v>
      </c>
      <c r="AR442" t="s">
        <v>6136</v>
      </c>
      <c r="AS442" t="s">
        <v>6137</v>
      </c>
      <c r="AT442" t="s">
        <v>5036</v>
      </c>
      <c r="AU442">
        <v>2000</v>
      </c>
      <c r="AV442">
        <v>103</v>
      </c>
      <c r="AW442" t="s">
        <v>1046</v>
      </c>
      <c r="AX442" t="s">
        <v>74</v>
      </c>
      <c r="AY442" t="s">
        <v>74</v>
      </c>
      <c r="AZ442" t="s">
        <v>74</v>
      </c>
      <c r="BA442" t="s">
        <v>74</v>
      </c>
      <c r="BB442">
        <v>237</v>
      </c>
      <c r="BC442">
        <v>248</v>
      </c>
      <c r="BD442" t="s">
        <v>74</v>
      </c>
      <c r="BE442" t="s">
        <v>6138</v>
      </c>
      <c r="BF442" t="str">
        <f>HYPERLINK("http://dx.doi.org/10.2113/1030237","http://dx.doi.org/10.2113/1030237")</f>
        <v>http://dx.doi.org/10.2113/1030237</v>
      </c>
      <c r="BG442" t="s">
        <v>74</v>
      </c>
      <c r="BH442" t="s">
        <v>74</v>
      </c>
      <c r="BI442">
        <v>12</v>
      </c>
      <c r="BJ442" t="s">
        <v>597</v>
      </c>
      <c r="BK442" t="s">
        <v>94</v>
      </c>
      <c r="BL442" t="s">
        <v>597</v>
      </c>
      <c r="BM442" t="s">
        <v>6139</v>
      </c>
      <c r="BN442" t="s">
        <v>74</v>
      </c>
      <c r="BO442" t="s">
        <v>74</v>
      </c>
      <c r="BP442" t="s">
        <v>74</v>
      </c>
      <c r="BQ442" t="s">
        <v>74</v>
      </c>
      <c r="BR442" t="s">
        <v>97</v>
      </c>
      <c r="BS442" t="s">
        <v>6140</v>
      </c>
      <c r="BT442" t="str">
        <f>HYPERLINK("https%3A%2F%2Fwww.webofscience.com%2Fwos%2Fwoscc%2Ffull-record%2FWOS:000177252300007","View Full Record in Web of Science")</f>
        <v>View Full Record in Web of Science</v>
      </c>
    </row>
    <row r="443" spans="1:72" x14ac:dyDescent="0.15">
      <c r="A443" t="s">
        <v>72</v>
      </c>
      <c r="B443" t="s">
        <v>6141</v>
      </c>
      <c r="C443" t="s">
        <v>74</v>
      </c>
      <c r="D443" t="s">
        <v>74</v>
      </c>
      <c r="E443" t="s">
        <v>74</v>
      </c>
      <c r="F443" t="s">
        <v>6141</v>
      </c>
      <c r="G443" t="s">
        <v>74</v>
      </c>
      <c r="H443" t="s">
        <v>74</v>
      </c>
      <c r="I443" t="s">
        <v>6142</v>
      </c>
      <c r="J443" t="s">
        <v>6143</v>
      </c>
      <c r="K443" t="s">
        <v>74</v>
      </c>
      <c r="L443" t="s">
        <v>74</v>
      </c>
      <c r="M443" t="s">
        <v>77</v>
      </c>
      <c r="N443" t="s">
        <v>78</v>
      </c>
      <c r="O443" t="s">
        <v>74</v>
      </c>
      <c r="P443" t="s">
        <v>74</v>
      </c>
      <c r="Q443" t="s">
        <v>74</v>
      </c>
      <c r="R443" t="s">
        <v>74</v>
      </c>
      <c r="S443" t="s">
        <v>74</v>
      </c>
      <c r="T443" t="s">
        <v>6144</v>
      </c>
      <c r="U443" t="s">
        <v>6145</v>
      </c>
      <c r="V443" t="s">
        <v>6146</v>
      </c>
      <c r="W443" t="s">
        <v>6147</v>
      </c>
      <c r="X443" t="s">
        <v>6148</v>
      </c>
      <c r="Y443" t="s">
        <v>6149</v>
      </c>
      <c r="Z443" t="s">
        <v>74</v>
      </c>
      <c r="AA443" t="s">
        <v>74</v>
      </c>
      <c r="AB443" t="s">
        <v>6150</v>
      </c>
      <c r="AC443" t="s">
        <v>74</v>
      </c>
      <c r="AD443" t="s">
        <v>74</v>
      </c>
      <c r="AE443" t="s">
        <v>74</v>
      </c>
      <c r="AF443" t="s">
        <v>74</v>
      </c>
      <c r="AG443">
        <v>50</v>
      </c>
      <c r="AH443">
        <v>29</v>
      </c>
      <c r="AI443">
        <v>29</v>
      </c>
      <c r="AJ443">
        <v>0</v>
      </c>
      <c r="AK443">
        <v>3</v>
      </c>
      <c r="AL443" t="s">
        <v>6151</v>
      </c>
      <c r="AM443" t="s">
        <v>6152</v>
      </c>
      <c r="AN443" t="s">
        <v>6153</v>
      </c>
      <c r="AO443" t="s">
        <v>6154</v>
      </c>
      <c r="AP443" t="s">
        <v>74</v>
      </c>
      <c r="AQ443" t="s">
        <v>74</v>
      </c>
      <c r="AR443" t="s">
        <v>6155</v>
      </c>
      <c r="AS443" t="s">
        <v>6156</v>
      </c>
      <c r="AT443" t="s">
        <v>5036</v>
      </c>
      <c r="AU443">
        <v>2000</v>
      </c>
      <c r="AV443">
        <v>50</v>
      </c>
      <c r="AW443">
        <v>4</v>
      </c>
      <c r="AX443" t="s">
        <v>74</v>
      </c>
      <c r="AY443" t="s">
        <v>74</v>
      </c>
      <c r="AZ443" t="s">
        <v>74</v>
      </c>
      <c r="BA443" t="s">
        <v>74</v>
      </c>
      <c r="BB443">
        <v>261</v>
      </c>
      <c r="BC443">
        <v>273</v>
      </c>
      <c r="BD443" t="s">
        <v>74</v>
      </c>
      <c r="BE443" t="s">
        <v>74</v>
      </c>
      <c r="BF443" t="s">
        <v>74</v>
      </c>
      <c r="BG443" t="s">
        <v>74</v>
      </c>
      <c r="BH443" t="s">
        <v>74</v>
      </c>
      <c r="BI443">
        <v>13</v>
      </c>
      <c r="BJ443" t="s">
        <v>618</v>
      </c>
      <c r="BK443" t="s">
        <v>94</v>
      </c>
      <c r="BL443" t="s">
        <v>619</v>
      </c>
      <c r="BM443" t="s">
        <v>6157</v>
      </c>
      <c r="BN443" t="s">
        <v>74</v>
      </c>
      <c r="BO443" t="s">
        <v>74</v>
      </c>
      <c r="BP443" t="s">
        <v>74</v>
      </c>
      <c r="BQ443" t="s">
        <v>74</v>
      </c>
      <c r="BR443" t="s">
        <v>97</v>
      </c>
      <c r="BS443" t="s">
        <v>6158</v>
      </c>
      <c r="BT443" t="str">
        <f>HYPERLINK("https%3A%2F%2Fwww.webofscience.com%2Fwos%2Fwoscc%2Ffull-record%2FWOS:000167085200006","View Full Record in Web of Science")</f>
        <v>View Full Record in Web of Science</v>
      </c>
    </row>
    <row r="444" spans="1:72" x14ac:dyDescent="0.15">
      <c r="A444" t="s">
        <v>72</v>
      </c>
      <c r="B444" t="s">
        <v>6159</v>
      </c>
      <c r="C444" t="s">
        <v>74</v>
      </c>
      <c r="D444" t="s">
        <v>74</v>
      </c>
      <c r="E444" t="s">
        <v>74</v>
      </c>
      <c r="F444" t="s">
        <v>6159</v>
      </c>
      <c r="G444" t="s">
        <v>74</v>
      </c>
      <c r="H444" t="s">
        <v>74</v>
      </c>
      <c r="I444" t="s">
        <v>6160</v>
      </c>
      <c r="J444" t="s">
        <v>4720</v>
      </c>
      <c r="K444" t="s">
        <v>74</v>
      </c>
      <c r="L444" t="s">
        <v>74</v>
      </c>
      <c r="M444" t="s">
        <v>77</v>
      </c>
      <c r="N444" t="s">
        <v>236</v>
      </c>
      <c r="O444" t="s">
        <v>74</v>
      </c>
      <c r="P444" t="s">
        <v>74</v>
      </c>
      <c r="Q444" t="s">
        <v>74</v>
      </c>
      <c r="R444" t="s">
        <v>74</v>
      </c>
      <c r="S444" t="s">
        <v>74</v>
      </c>
      <c r="T444" t="s">
        <v>6161</v>
      </c>
      <c r="U444" t="s">
        <v>6162</v>
      </c>
      <c r="V444" t="s">
        <v>6163</v>
      </c>
      <c r="W444" t="s">
        <v>6164</v>
      </c>
      <c r="X444" t="s">
        <v>6165</v>
      </c>
      <c r="Y444" t="s">
        <v>6166</v>
      </c>
      <c r="Z444" t="s">
        <v>6167</v>
      </c>
      <c r="AA444" t="s">
        <v>6168</v>
      </c>
      <c r="AB444" t="s">
        <v>74</v>
      </c>
      <c r="AC444" t="s">
        <v>74</v>
      </c>
      <c r="AD444" t="s">
        <v>74</v>
      </c>
      <c r="AE444" t="s">
        <v>74</v>
      </c>
      <c r="AF444" t="s">
        <v>74</v>
      </c>
      <c r="AG444">
        <v>36</v>
      </c>
      <c r="AH444">
        <v>290</v>
      </c>
      <c r="AI444">
        <v>319</v>
      </c>
      <c r="AJ444">
        <v>9</v>
      </c>
      <c r="AK444">
        <v>82</v>
      </c>
      <c r="AL444" t="s">
        <v>1120</v>
      </c>
      <c r="AM444" t="s">
        <v>1121</v>
      </c>
      <c r="AN444" t="s">
        <v>2394</v>
      </c>
      <c r="AO444" t="s">
        <v>4727</v>
      </c>
      <c r="AP444" t="s">
        <v>74</v>
      </c>
      <c r="AQ444" t="s">
        <v>74</v>
      </c>
      <c r="AR444" t="s">
        <v>4728</v>
      </c>
      <c r="AS444" t="s">
        <v>4729</v>
      </c>
      <c r="AT444" t="s">
        <v>6169</v>
      </c>
      <c r="AU444">
        <v>2000</v>
      </c>
      <c r="AV444">
        <v>1543</v>
      </c>
      <c r="AW444">
        <v>1</v>
      </c>
      <c r="AX444" t="s">
        <v>74</v>
      </c>
      <c r="AY444" t="s">
        <v>74</v>
      </c>
      <c r="AZ444" t="s">
        <v>74</v>
      </c>
      <c r="BA444" t="s">
        <v>74</v>
      </c>
      <c r="BB444">
        <v>1</v>
      </c>
      <c r="BC444">
        <v>10</v>
      </c>
      <c r="BD444" t="s">
        <v>74</v>
      </c>
      <c r="BE444" t="s">
        <v>6170</v>
      </c>
      <c r="BF444" t="str">
        <f>HYPERLINK("http://dx.doi.org/10.1016/S0167-4838(00)00210-7","http://dx.doi.org/10.1016/S0167-4838(00)00210-7")</f>
        <v>http://dx.doi.org/10.1016/S0167-4838(00)00210-7</v>
      </c>
      <c r="BG444" t="s">
        <v>74</v>
      </c>
      <c r="BH444" t="s">
        <v>74</v>
      </c>
      <c r="BI444">
        <v>10</v>
      </c>
      <c r="BJ444" t="s">
        <v>4732</v>
      </c>
      <c r="BK444" t="s">
        <v>94</v>
      </c>
      <c r="BL444" t="s">
        <v>4732</v>
      </c>
      <c r="BM444" t="s">
        <v>6171</v>
      </c>
      <c r="BN444">
        <v>11087936</v>
      </c>
      <c r="BO444" t="s">
        <v>74</v>
      </c>
      <c r="BP444" t="s">
        <v>74</v>
      </c>
      <c r="BQ444" t="s">
        <v>74</v>
      </c>
      <c r="BR444" t="s">
        <v>97</v>
      </c>
      <c r="BS444" t="s">
        <v>6172</v>
      </c>
      <c r="BT444" t="str">
        <f>HYPERLINK("https%3A%2F%2Fwww.webofscience.com%2Fwos%2Fwoscc%2Ffull-record%2FWOS:000165633900001","View Full Record in Web of Science")</f>
        <v>View Full Record in Web of Science</v>
      </c>
    </row>
    <row r="445" spans="1:72" x14ac:dyDescent="0.15">
      <c r="A445" t="s">
        <v>72</v>
      </c>
      <c r="B445" t="s">
        <v>6173</v>
      </c>
      <c r="C445" t="s">
        <v>74</v>
      </c>
      <c r="D445" t="s">
        <v>74</v>
      </c>
      <c r="E445" t="s">
        <v>74</v>
      </c>
      <c r="F445" t="s">
        <v>6173</v>
      </c>
      <c r="G445" t="s">
        <v>74</v>
      </c>
      <c r="H445" t="s">
        <v>74</v>
      </c>
      <c r="I445" t="s">
        <v>6174</v>
      </c>
      <c r="J445" t="s">
        <v>4720</v>
      </c>
      <c r="K445" t="s">
        <v>74</v>
      </c>
      <c r="L445" t="s">
        <v>74</v>
      </c>
      <c r="M445" t="s">
        <v>77</v>
      </c>
      <c r="N445" t="s">
        <v>78</v>
      </c>
      <c r="O445" t="s">
        <v>74</v>
      </c>
      <c r="P445" t="s">
        <v>74</v>
      </c>
      <c r="Q445" t="s">
        <v>74</v>
      </c>
      <c r="R445" t="s">
        <v>74</v>
      </c>
      <c r="S445" t="s">
        <v>74</v>
      </c>
      <c r="T445" t="s">
        <v>6175</v>
      </c>
      <c r="U445" t="s">
        <v>6176</v>
      </c>
      <c r="V445" t="s">
        <v>6177</v>
      </c>
      <c r="W445" t="s">
        <v>5564</v>
      </c>
      <c r="X445" t="s">
        <v>5565</v>
      </c>
      <c r="Y445" t="s">
        <v>6178</v>
      </c>
      <c r="Z445" t="s">
        <v>6179</v>
      </c>
      <c r="AA445" t="s">
        <v>6180</v>
      </c>
      <c r="AB445" t="s">
        <v>6181</v>
      </c>
      <c r="AC445" t="s">
        <v>74</v>
      </c>
      <c r="AD445" t="s">
        <v>74</v>
      </c>
      <c r="AE445" t="s">
        <v>74</v>
      </c>
      <c r="AF445" t="s">
        <v>74</v>
      </c>
      <c r="AG445">
        <v>52</v>
      </c>
      <c r="AH445">
        <v>32</v>
      </c>
      <c r="AI445">
        <v>37</v>
      </c>
      <c r="AJ445">
        <v>1</v>
      </c>
      <c r="AK445">
        <v>18</v>
      </c>
      <c r="AL445" t="s">
        <v>1120</v>
      </c>
      <c r="AM445" t="s">
        <v>1121</v>
      </c>
      <c r="AN445" t="s">
        <v>2394</v>
      </c>
      <c r="AO445" t="s">
        <v>4727</v>
      </c>
      <c r="AP445" t="s">
        <v>74</v>
      </c>
      <c r="AQ445" t="s">
        <v>74</v>
      </c>
      <c r="AR445" t="s">
        <v>4728</v>
      </c>
      <c r="AS445" t="s">
        <v>4729</v>
      </c>
      <c r="AT445" t="s">
        <v>6169</v>
      </c>
      <c r="AU445">
        <v>2000</v>
      </c>
      <c r="AV445">
        <v>1543</v>
      </c>
      <c r="AW445">
        <v>1</v>
      </c>
      <c r="AX445" t="s">
        <v>74</v>
      </c>
      <c r="AY445" t="s">
        <v>74</v>
      </c>
      <c r="AZ445" t="s">
        <v>74</v>
      </c>
      <c r="BA445" t="s">
        <v>74</v>
      </c>
      <c r="BB445">
        <v>11</v>
      </c>
      <c r="BC445">
        <v>23</v>
      </c>
      <c r="BD445" t="s">
        <v>74</v>
      </c>
      <c r="BE445" t="s">
        <v>6182</v>
      </c>
      <c r="BF445" t="str">
        <f>HYPERLINK("http://dx.doi.org/10.1016/S0167-4838(00)00186-2","http://dx.doi.org/10.1016/S0167-4838(00)00186-2")</f>
        <v>http://dx.doi.org/10.1016/S0167-4838(00)00186-2</v>
      </c>
      <c r="BG445" t="s">
        <v>74</v>
      </c>
      <c r="BH445" t="s">
        <v>74</v>
      </c>
      <c r="BI445">
        <v>13</v>
      </c>
      <c r="BJ445" t="s">
        <v>4732</v>
      </c>
      <c r="BK445" t="s">
        <v>94</v>
      </c>
      <c r="BL445" t="s">
        <v>4732</v>
      </c>
      <c r="BM445" t="s">
        <v>6171</v>
      </c>
      <c r="BN445">
        <v>11087937</v>
      </c>
      <c r="BO445" t="s">
        <v>74</v>
      </c>
      <c r="BP445" t="s">
        <v>74</v>
      </c>
      <c r="BQ445" t="s">
        <v>74</v>
      </c>
      <c r="BR445" t="s">
        <v>97</v>
      </c>
      <c r="BS445" t="s">
        <v>6183</v>
      </c>
      <c r="BT445" t="str">
        <f>HYPERLINK("https%3A%2F%2Fwww.webofscience.com%2Fwos%2Fwoscc%2Ffull-record%2FWOS:000165633900002","View Full Record in Web of Science")</f>
        <v>View Full Record in Web of Science</v>
      </c>
    </row>
    <row r="446" spans="1:72" x14ac:dyDescent="0.15">
      <c r="A446" t="s">
        <v>72</v>
      </c>
      <c r="B446" t="s">
        <v>6184</v>
      </c>
      <c r="C446" t="s">
        <v>74</v>
      </c>
      <c r="D446" t="s">
        <v>74</v>
      </c>
      <c r="E446" t="s">
        <v>74</v>
      </c>
      <c r="F446" t="s">
        <v>6184</v>
      </c>
      <c r="G446" t="s">
        <v>74</v>
      </c>
      <c r="H446" t="s">
        <v>74</v>
      </c>
      <c r="I446" t="s">
        <v>6185</v>
      </c>
      <c r="J446" t="s">
        <v>4671</v>
      </c>
      <c r="K446" t="s">
        <v>74</v>
      </c>
      <c r="L446" t="s">
        <v>74</v>
      </c>
      <c r="M446" t="s">
        <v>77</v>
      </c>
      <c r="N446" t="s">
        <v>78</v>
      </c>
      <c r="O446" t="s">
        <v>74</v>
      </c>
      <c r="P446" t="s">
        <v>74</v>
      </c>
      <c r="Q446" t="s">
        <v>74</v>
      </c>
      <c r="R446" t="s">
        <v>74</v>
      </c>
      <c r="S446" t="s">
        <v>74</v>
      </c>
      <c r="T446" t="s">
        <v>6186</v>
      </c>
      <c r="U446" t="s">
        <v>6187</v>
      </c>
      <c r="V446" t="s">
        <v>6188</v>
      </c>
      <c r="W446" t="s">
        <v>6189</v>
      </c>
      <c r="X446" t="s">
        <v>6190</v>
      </c>
      <c r="Y446" t="s">
        <v>6191</v>
      </c>
      <c r="Z446" t="s">
        <v>6192</v>
      </c>
      <c r="AA446" t="s">
        <v>6193</v>
      </c>
      <c r="AB446" t="s">
        <v>6194</v>
      </c>
      <c r="AC446" t="s">
        <v>74</v>
      </c>
      <c r="AD446" t="s">
        <v>74</v>
      </c>
      <c r="AE446" t="s">
        <v>74</v>
      </c>
      <c r="AF446" t="s">
        <v>74</v>
      </c>
      <c r="AG446">
        <v>50</v>
      </c>
      <c r="AH446">
        <v>119</v>
      </c>
      <c r="AI446">
        <v>135</v>
      </c>
      <c r="AJ446">
        <v>0</v>
      </c>
      <c r="AK446">
        <v>26</v>
      </c>
      <c r="AL446" t="s">
        <v>1823</v>
      </c>
      <c r="AM446" t="s">
        <v>1121</v>
      </c>
      <c r="AN446" t="s">
        <v>1824</v>
      </c>
      <c r="AO446" t="s">
        <v>4680</v>
      </c>
      <c r="AP446" t="s">
        <v>4681</v>
      </c>
      <c r="AQ446" t="s">
        <v>74</v>
      </c>
      <c r="AR446" t="s">
        <v>4682</v>
      </c>
      <c r="AS446" t="s">
        <v>4683</v>
      </c>
      <c r="AT446" t="s">
        <v>6169</v>
      </c>
      <c r="AU446">
        <v>2000</v>
      </c>
      <c r="AV446">
        <v>183</v>
      </c>
      <c r="AW446" t="s">
        <v>870</v>
      </c>
      <c r="AX446" t="s">
        <v>74</v>
      </c>
      <c r="AY446" t="s">
        <v>74</v>
      </c>
      <c r="AZ446" t="s">
        <v>74</v>
      </c>
      <c r="BA446" t="s">
        <v>74</v>
      </c>
      <c r="BB446">
        <v>161</v>
      </c>
      <c r="BC446">
        <v>177</v>
      </c>
      <c r="BD446" t="s">
        <v>74</v>
      </c>
      <c r="BE446" t="s">
        <v>6195</v>
      </c>
      <c r="BF446" t="str">
        <f>HYPERLINK("http://dx.doi.org/10.1016/S0012-821X(00)00272-7","http://dx.doi.org/10.1016/S0012-821X(00)00272-7")</f>
        <v>http://dx.doi.org/10.1016/S0012-821X(00)00272-7</v>
      </c>
      <c r="BG446" t="s">
        <v>74</v>
      </c>
      <c r="BH446" t="s">
        <v>74</v>
      </c>
      <c r="BI446">
        <v>17</v>
      </c>
      <c r="BJ446" t="s">
        <v>953</v>
      </c>
      <c r="BK446" t="s">
        <v>94</v>
      </c>
      <c r="BL446" t="s">
        <v>953</v>
      </c>
      <c r="BM446" t="s">
        <v>6196</v>
      </c>
      <c r="BN446" t="s">
        <v>74</v>
      </c>
      <c r="BO446" t="s">
        <v>74</v>
      </c>
      <c r="BP446" t="s">
        <v>74</v>
      </c>
      <c r="BQ446" t="s">
        <v>74</v>
      </c>
      <c r="BR446" t="s">
        <v>97</v>
      </c>
      <c r="BS446" t="s">
        <v>6197</v>
      </c>
      <c r="BT446" t="str">
        <f>HYPERLINK("https%3A%2F%2Fwww.webofscience.com%2Fwos%2Fwoscc%2Ffull-record%2FWOS:000165521200014","View Full Record in Web of Science")</f>
        <v>View Full Record in Web of Science</v>
      </c>
    </row>
    <row r="447" spans="1:72" x14ac:dyDescent="0.15">
      <c r="A447" t="s">
        <v>72</v>
      </c>
      <c r="B447" t="s">
        <v>6198</v>
      </c>
      <c r="C447" t="s">
        <v>74</v>
      </c>
      <c r="D447" t="s">
        <v>74</v>
      </c>
      <c r="E447" t="s">
        <v>74</v>
      </c>
      <c r="F447" t="s">
        <v>6198</v>
      </c>
      <c r="G447" t="s">
        <v>74</v>
      </c>
      <c r="H447" t="s">
        <v>74</v>
      </c>
      <c r="I447" t="s">
        <v>6199</v>
      </c>
      <c r="J447" t="s">
        <v>4671</v>
      </c>
      <c r="K447" t="s">
        <v>74</v>
      </c>
      <c r="L447" t="s">
        <v>74</v>
      </c>
      <c r="M447" t="s">
        <v>77</v>
      </c>
      <c r="N447" t="s">
        <v>78</v>
      </c>
      <c r="O447" t="s">
        <v>74</v>
      </c>
      <c r="P447" t="s">
        <v>74</v>
      </c>
      <c r="Q447" t="s">
        <v>74</v>
      </c>
      <c r="R447" t="s">
        <v>74</v>
      </c>
      <c r="S447" t="s">
        <v>74</v>
      </c>
      <c r="T447" t="s">
        <v>6200</v>
      </c>
      <c r="U447" t="s">
        <v>6201</v>
      </c>
      <c r="V447" t="s">
        <v>6202</v>
      </c>
      <c r="W447" t="s">
        <v>6203</v>
      </c>
      <c r="X447" t="s">
        <v>6204</v>
      </c>
      <c r="Y447" t="s">
        <v>6205</v>
      </c>
      <c r="Z447" t="s">
        <v>74</v>
      </c>
      <c r="AA447" t="s">
        <v>6206</v>
      </c>
      <c r="AB447" t="s">
        <v>6207</v>
      </c>
      <c r="AC447" t="s">
        <v>74</v>
      </c>
      <c r="AD447" t="s">
        <v>74</v>
      </c>
      <c r="AE447" t="s">
        <v>74</v>
      </c>
      <c r="AF447" t="s">
        <v>74</v>
      </c>
      <c r="AG447">
        <v>49</v>
      </c>
      <c r="AH447">
        <v>36</v>
      </c>
      <c r="AI447">
        <v>40</v>
      </c>
      <c r="AJ447">
        <v>0</v>
      </c>
      <c r="AK447">
        <v>13</v>
      </c>
      <c r="AL447" t="s">
        <v>1120</v>
      </c>
      <c r="AM447" t="s">
        <v>1121</v>
      </c>
      <c r="AN447" t="s">
        <v>2394</v>
      </c>
      <c r="AO447" t="s">
        <v>4680</v>
      </c>
      <c r="AP447" t="s">
        <v>74</v>
      </c>
      <c r="AQ447" t="s">
        <v>74</v>
      </c>
      <c r="AR447" t="s">
        <v>4682</v>
      </c>
      <c r="AS447" t="s">
        <v>4683</v>
      </c>
      <c r="AT447" t="s">
        <v>6169</v>
      </c>
      <c r="AU447">
        <v>2000</v>
      </c>
      <c r="AV447">
        <v>183</v>
      </c>
      <c r="AW447" t="s">
        <v>870</v>
      </c>
      <c r="AX447" t="s">
        <v>74</v>
      </c>
      <c r="AY447" t="s">
        <v>74</v>
      </c>
      <c r="AZ447" t="s">
        <v>74</v>
      </c>
      <c r="BA447" t="s">
        <v>74</v>
      </c>
      <c r="BB447">
        <v>245</v>
      </c>
      <c r="BC447">
        <v>259</v>
      </c>
      <c r="BD447" t="s">
        <v>74</v>
      </c>
      <c r="BE447" t="s">
        <v>6208</v>
      </c>
      <c r="BF447" t="str">
        <f>HYPERLINK("http://dx.doi.org/10.1016/S0012-821X(00)00279-X","http://dx.doi.org/10.1016/S0012-821X(00)00279-X")</f>
        <v>http://dx.doi.org/10.1016/S0012-821X(00)00279-X</v>
      </c>
      <c r="BG447" t="s">
        <v>74</v>
      </c>
      <c r="BH447" t="s">
        <v>74</v>
      </c>
      <c r="BI447">
        <v>15</v>
      </c>
      <c r="BJ447" t="s">
        <v>953</v>
      </c>
      <c r="BK447" t="s">
        <v>94</v>
      </c>
      <c r="BL447" t="s">
        <v>953</v>
      </c>
      <c r="BM447" t="s">
        <v>6196</v>
      </c>
      <c r="BN447" t="s">
        <v>74</v>
      </c>
      <c r="BO447" t="s">
        <v>74</v>
      </c>
      <c r="BP447" t="s">
        <v>74</v>
      </c>
      <c r="BQ447" t="s">
        <v>74</v>
      </c>
      <c r="BR447" t="s">
        <v>97</v>
      </c>
      <c r="BS447" t="s">
        <v>6209</v>
      </c>
      <c r="BT447" t="str">
        <f>HYPERLINK("https%3A%2F%2Fwww.webofscience.com%2Fwos%2Fwoscc%2Ffull-record%2FWOS:000165521200020","View Full Record in Web of Science")</f>
        <v>View Full Record in Web of Science</v>
      </c>
    </row>
    <row r="448" spans="1:72" x14ac:dyDescent="0.15">
      <c r="A448" t="s">
        <v>72</v>
      </c>
      <c r="B448" t="s">
        <v>6210</v>
      </c>
      <c r="C448" t="s">
        <v>74</v>
      </c>
      <c r="D448" t="s">
        <v>74</v>
      </c>
      <c r="E448" t="s">
        <v>74</v>
      </c>
      <c r="F448" t="s">
        <v>6210</v>
      </c>
      <c r="G448" t="s">
        <v>74</v>
      </c>
      <c r="H448" t="s">
        <v>74</v>
      </c>
      <c r="I448" t="s">
        <v>6211</v>
      </c>
      <c r="J448" t="s">
        <v>4824</v>
      </c>
      <c r="K448" t="s">
        <v>74</v>
      </c>
      <c r="L448" t="s">
        <v>74</v>
      </c>
      <c r="M448" t="s">
        <v>77</v>
      </c>
      <c r="N448" t="s">
        <v>78</v>
      </c>
      <c r="O448" t="s">
        <v>74</v>
      </c>
      <c r="P448" t="s">
        <v>74</v>
      </c>
      <c r="Q448" t="s">
        <v>74</v>
      </c>
      <c r="R448" t="s">
        <v>74</v>
      </c>
      <c r="S448" t="s">
        <v>74</v>
      </c>
      <c r="T448" t="s">
        <v>74</v>
      </c>
      <c r="U448" t="s">
        <v>6212</v>
      </c>
      <c r="V448" t="s">
        <v>6213</v>
      </c>
      <c r="W448" t="s">
        <v>6214</v>
      </c>
      <c r="X448" t="s">
        <v>6215</v>
      </c>
      <c r="Y448" t="s">
        <v>6216</v>
      </c>
      <c r="Z448" t="s">
        <v>6217</v>
      </c>
      <c r="AA448" t="s">
        <v>6218</v>
      </c>
      <c r="AB448" t="s">
        <v>74</v>
      </c>
      <c r="AC448" t="s">
        <v>74</v>
      </c>
      <c r="AD448" t="s">
        <v>74</v>
      </c>
      <c r="AE448" t="s">
        <v>74</v>
      </c>
      <c r="AF448" t="s">
        <v>74</v>
      </c>
      <c r="AG448">
        <v>25</v>
      </c>
      <c r="AH448">
        <v>17</v>
      </c>
      <c r="AI448">
        <v>18</v>
      </c>
      <c r="AJ448">
        <v>0</v>
      </c>
      <c r="AK448">
        <v>4</v>
      </c>
      <c r="AL448" t="s">
        <v>4832</v>
      </c>
      <c r="AM448" t="s">
        <v>1060</v>
      </c>
      <c r="AN448" t="s">
        <v>4833</v>
      </c>
      <c r="AO448" t="s">
        <v>4834</v>
      </c>
      <c r="AP448" t="s">
        <v>6219</v>
      </c>
      <c r="AQ448" t="s">
        <v>74</v>
      </c>
      <c r="AR448" t="s">
        <v>4835</v>
      </c>
      <c r="AS448" t="s">
        <v>4836</v>
      </c>
      <c r="AT448" t="s">
        <v>6169</v>
      </c>
      <c r="AU448">
        <v>2000</v>
      </c>
      <c r="AV448">
        <v>104</v>
      </c>
      <c r="AW448">
        <v>47</v>
      </c>
      <c r="AX448" t="s">
        <v>74</v>
      </c>
      <c r="AY448" t="s">
        <v>74</v>
      </c>
      <c r="AZ448" t="s">
        <v>74</v>
      </c>
      <c r="BA448" t="s">
        <v>74</v>
      </c>
      <c r="BB448">
        <v>11121</v>
      </c>
      <c r="BC448">
        <v>11125</v>
      </c>
      <c r="BD448" t="s">
        <v>74</v>
      </c>
      <c r="BE448" t="s">
        <v>6220</v>
      </c>
      <c r="BF448" t="str">
        <f>HYPERLINK("http://dx.doi.org/10.1021/jp002226u","http://dx.doi.org/10.1021/jp002226u")</f>
        <v>http://dx.doi.org/10.1021/jp002226u</v>
      </c>
      <c r="BG448" t="s">
        <v>74</v>
      </c>
      <c r="BH448" t="s">
        <v>74</v>
      </c>
      <c r="BI448">
        <v>5</v>
      </c>
      <c r="BJ448" t="s">
        <v>4839</v>
      </c>
      <c r="BK448" t="s">
        <v>94</v>
      </c>
      <c r="BL448" t="s">
        <v>4840</v>
      </c>
      <c r="BM448" t="s">
        <v>6221</v>
      </c>
      <c r="BN448" t="s">
        <v>74</v>
      </c>
      <c r="BO448" t="s">
        <v>74</v>
      </c>
      <c r="BP448" t="s">
        <v>74</v>
      </c>
      <c r="BQ448" t="s">
        <v>74</v>
      </c>
      <c r="BR448" t="s">
        <v>97</v>
      </c>
      <c r="BS448" t="s">
        <v>6222</v>
      </c>
      <c r="BT448" t="str">
        <f>HYPERLINK("https%3A%2F%2Fwww.webofscience.com%2Fwos%2Fwoscc%2Ffull-record%2FWOS:000165600500016","View Full Record in Web of Science")</f>
        <v>View Full Record in Web of Science</v>
      </c>
    </row>
    <row r="449" spans="1:72" x14ac:dyDescent="0.15">
      <c r="A449" t="s">
        <v>72</v>
      </c>
      <c r="B449" t="s">
        <v>6223</v>
      </c>
      <c r="C449" t="s">
        <v>74</v>
      </c>
      <c r="D449" t="s">
        <v>74</v>
      </c>
      <c r="E449" t="s">
        <v>74</v>
      </c>
      <c r="F449" t="s">
        <v>6223</v>
      </c>
      <c r="G449" t="s">
        <v>74</v>
      </c>
      <c r="H449" t="s">
        <v>74</v>
      </c>
      <c r="I449" t="s">
        <v>6224</v>
      </c>
      <c r="J449" t="s">
        <v>4772</v>
      </c>
      <c r="K449" t="s">
        <v>74</v>
      </c>
      <c r="L449" t="s">
        <v>74</v>
      </c>
      <c r="M449" t="s">
        <v>77</v>
      </c>
      <c r="N449" t="s">
        <v>78</v>
      </c>
      <c r="O449" t="s">
        <v>74</v>
      </c>
      <c r="P449" t="s">
        <v>74</v>
      </c>
      <c r="Q449" t="s">
        <v>74</v>
      </c>
      <c r="R449" t="s">
        <v>74</v>
      </c>
      <c r="S449" t="s">
        <v>74</v>
      </c>
      <c r="T449" t="s">
        <v>74</v>
      </c>
      <c r="U449" t="s">
        <v>6225</v>
      </c>
      <c r="V449" t="s">
        <v>6226</v>
      </c>
      <c r="W449" t="s">
        <v>6227</v>
      </c>
      <c r="X449" t="s">
        <v>6228</v>
      </c>
      <c r="Y449" t="s">
        <v>6229</v>
      </c>
      <c r="Z449" t="s">
        <v>6230</v>
      </c>
      <c r="AA449" t="s">
        <v>6231</v>
      </c>
      <c r="AB449" t="s">
        <v>74</v>
      </c>
      <c r="AC449" t="s">
        <v>74</v>
      </c>
      <c r="AD449" t="s">
        <v>74</v>
      </c>
      <c r="AE449" t="s">
        <v>74</v>
      </c>
      <c r="AF449" t="s">
        <v>74</v>
      </c>
      <c r="AG449">
        <v>19</v>
      </c>
      <c r="AH449">
        <v>29</v>
      </c>
      <c r="AI449">
        <v>31</v>
      </c>
      <c r="AJ449">
        <v>0</v>
      </c>
      <c r="AK449">
        <v>2</v>
      </c>
      <c r="AL449" t="s">
        <v>1059</v>
      </c>
      <c r="AM449" t="s">
        <v>1060</v>
      </c>
      <c r="AN449" t="s">
        <v>1061</v>
      </c>
      <c r="AO449" t="s">
        <v>4798</v>
      </c>
      <c r="AP449" t="s">
        <v>74</v>
      </c>
      <c r="AQ449" t="s">
        <v>74</v>
      </c>
      <c r="AR449" t="s">
        <v>4781</v>
      </c>
      <c r="AS449" t="s">
        <v>4782</v>
      </c>
      <c r="AT449" t="s">
        <v>6232</v>
      </c>
      <c r="AU449">
        <v>2000</v>
      </c>
      <c r="AV449">
        <v>105</v>
      </c>
      <c r="AW449" t="s">
        <v>6233</v>
      </c>
      <c r="AX449" t="s">
        <v>74</v>
      </c>
      <c r="AY449" t="s">
        <v>74</v>
      </c>
      <c r="AZ449" t="s">
        <v>74</v>
      </c>
      <c r="BA449" t="s">
        <v>74</v>
      </c>
      <c r="BB449">
        <v>27005</v>
      </c>
      <c r="BC449">
        <v>27011</v>
      </c>
      <c r="BD449" t="s">
        <v>74</v>
      </c>
      <c r="BE449" t="s">
        <v>6234</v>
      </c>
      <c r="BF449" t="str">
        <f>HYPERLINK("http://dx.doi.org/10.1029/2000JD900432","http://dx.doi.org/10.1029/2000JD900432")</f>
        <v>http://dx.doi.org/10.1029/2000JD900432</v>
      </c>
      <c r="BG449" t="s">
        <v>74</v>
      </c>
      <c r="BH449" t="s">
        <v>74</v>
      </c>
      <c r="BI449">
        <v>7</v>
      </c>
      <c r="BJ449" t="s">
        <v>167</v>
      </c>
      <c r="BK449" t="s">
        <v>94</v>
      </c>
      <c r="BL449" t="s">
        <v>167</v>
      </c>
      <c r="BM449" t="s">
        <v>6235</v>
      </c>
      <c r="BN449" t="s">
        <v>74</v>
      </c>
      <c r="BO449" t="s">
        <v>1755</v>
      </c>
      <c r="BP449" t="s">
        <v>74</v>
      </c>
      <c r="BQ449" t="s">
        <v>74</v>
      </c>
      <c r="BR449" t="s">
        <v>97</v>
      </c>
      <c r="BS449" t="s">
        <v>6236</v>
      </c>
      <c r="BT449" t="str">
        <f>HYPERLINK("https%3A%2F%2Fwww.webofscience.com%2Fwos%2Fwoscc%2Ffull-record%2FWOS:000165589200015","View Full Record in Web of Science")</f>
        <v>View Full Record in Web of Science</v>
      </c>
    </row>
    <row r="450" spans="1:72" x14ac:dyDescent="0.15">
      <c r="A450" t="s">
        <v>72</v>
      </c>
      <c r="B450" t="s">
        <v>6237</v>
      </c>
      <c r="C450" t="s">
        <v>74</v>
      </c>
      <c r="D450" t="s">
        <v>74</v>
      </c>
      <c r="E450" t="s">
        <v>74</v>
      </c>
      <c r="F450" t="s">
        <v>6237</v>
      </c>
      <c r="G450" t="s">
        <v>74</v>
      </c>
      <c r="H450" t="s">
        <v>74</v>
      </c>
      <c r="I450" t="s">
        <v>6238</v>
      </c>
      <c r="J450" t="s">
        <v>6239</v>
      </c>
      <c r="K450" t="s">
        <v>74</v>
      </c>
      <c r="L450" t="s">
        <v>74</v>
      </c>
      <c r="M450" t="s">
        <v>77</v>
      </c>
      <c r="N450" t="s">
        <v>78</v>
      </c>
      <c r="O450" t="s">
        <v>74</v>
      </c>
      <c r="P450" t="s">
        <v>74</v>
      </c>
      <c r="Q450" t="s">
        <v>74</v>
      </c>
      <c r="R450" t="s">
        <v>74</v>
      </c>
      <c r="S450" t="s">
        <v>74</v>
      </c>
      <c r="T450" t="s">
        <v>74</v>
      </c>
      <c r="U450" t="s">
        <v>6240</v>
      </c>
      <c r="V450" t="s">
        <v>6241</v>
      </c>
      <c r="W450" t="s">
        <v>6242</v>
      </c>
      <c r="X450" t="s">
        <v>6243</v>
      </c>
      <c r="Y450" t="s">
        <v>6244</v>
      </c>
      <c r="Z450" t="s">
        <v>74</v>
      </c>
      <c r="AA450" t="s">
        <v>74</v>
      </c>
      <c r="AB450" t="s">
        <v>74</v>
      </c>
      <c r="AC450" t="s">
        <v>6245</v>
      </c>
      <c r="AD450" t="s">
        <v>6246</v>
      </c>
      <c r="AE450" t="s">
        <v>74</v>
      </c>
      <c r="AF450" t="s">
        <v>74</v>
      </c>
      <c r="AG450">
        <v>54</v>
      </c>
      <c r="AH450">
        <v>119</v>
      </c>
      <c r="AI450">
        <v>139</v>
      </c>
      <c r="AJ450">
        <v>0</v>
      </c>
      <c r="AK450">
        <v>14</v>
      </c>
      <c r="AL450" t="s">
        <v>6247</v>
      </c>
      <c r="AM450" t="s">
        <v>3501</v>
      </c>
      <c r="AN450" t="s">
        <v>6248</v>
      </c>
      <c r="AO450" t="s">
        <v>6249</v>
      </c>
      <c r="AP450" t="s">
        <v>74</v>
      </c>
      <c r="AQ450" t="s">
        <v>74</v>
      </c>
      <c r="AR450" t="s">
        <v>6250</v>
      </c>
      <c r="AS450" t="s">
        <v>6251</v>
      </c>
      <c r="AT450" t="s">
        <v>6252</v>
      </c>
      <c r="AU450">
        <v>2000</v>
      </c>
      <c r="AV450">
        <v>275</v>
      </c>
      <c r="AW450">
        <v>47</v>
      </c>
      <c r="AX450" t="s">
        <v>74</v>
      </c>
      <c r="AY450" t="s">
        <v>74</v>
      </c>
      <c r="AZ450" t="s">
        <v>74</v>
      </c>
      <c r="BA450" t="s">
        <v>74</v>
      </c>
      <c r="BB450">
        <v>37038</v>
      </c>
      <c r="BC450">
        <v>37047</v>
      </c>
      <c r="BD450" t="s">
        <v>74</v>
      </c>
      <c r="BE450" t="s">
        <v>6253</v>
      </c>
      <c r="BF450" t="str">
        <f>HYPERLINK("http://dx.doi.org/10.1074/jbc.M005699200","http://dx.doi.org/10.1074/jbc.M005699200")</f>
        <v>http://dx.doi.org/10.1074/jbc.M005699200</v>
      </c>
      <c r="BG450" t="s">
        <v>74</v>
      </c>
      <c r="BH450" t="s">
        <v>74</v>
      </c>
      <c r="BI450">
        <v>10</v>
      </c>
      <c r="BJ450" t="s">
        <v>820</v>
      </c>
      <c r="BK450" t="s">
        <v>94</v>
      </c>
      <c r="BL450" t="s">
        <v>820</v>
      </c>
      <c r="BM450" t="s">
        <v>6254</v>
      </c>
      <c r="BN450">
        <v>10956651</v>
      </c>
      <c r="BO450" t="s">
        <v>1850</v>
      </c>
      <c r="BP450" t="s">
        <v>74</v>
      </c>
      <c r="BQ450" t="s">
        <v>74</v>
      </c>
      <c r="BR450" t="s">
        <v>97</v>
      </c>
      <c r="BS450" t="s">
        <v>6255</v>
      </c>
      <c r="BT450" t="str">
        <f>HYPERLINK("https%3A%2F%2Fwww.webofscience.com%2Fwos%2Fwoscc%2Ffull-record%2FWOS:000165577700082","View Full Record in Web of Science")</f>
        <v>View Full Record in Web of Science</v>
      </c>
    </row>
    <row r="451" spans="1:72" x14ac:dyDescent="0.15">
      <c r="A451" t="s">
        <v>72</v>
      </c>
      <c r="B451" t="s">
        <v>6256</v>
      </c>
      <c r="C451" t="s">
        <v>74</v>
      </c>
      <c r="D451" t="s">
        <v>74</v>
      </c>
      <c r="E451" t="s">
        <v>74</v>
      </c>
      <c r="F451" t="s">
        <v>6257</v>
      </c>
      <c r="G451" t="s">
        <v>74</v>
      </c>
      <c r="H451" t="s">
        <v>74</v>
      </c>
      <c r="I451" t="s">
        <v>6258</v>
      </c>
      <c r="J451" t="s">
        <v>4752</v>
      </c>
      <c r="K451" t="s">
        <v>74</v>
      </c>
      <c r="L451" t="s">
        <v>74</v>
      </c>
      <c r="M451" t="s">
        <v>77</v>
      </c>
      <c r="N451" t="s">
        <v>78</v>
      </c>
      <c r="O451" t="s">
        <v>74</v>
      </c>
      <c r="P451" t="s">
        <v>74</v>
      </c>
      <c r="Q451" t="s">
        <v>74</v>
      </c>
      <c r="R451" t="s">
        <v>74</v>
      </c>
      <c r="S451" t="s">
        <v>74</v>
      </c>
      <c r="T451" t="s">
        <v>6259</v>
      </c>
      <c r="U451" t="s">
        <v>74</v>
      </c>
      <c r="V451" t="s">
        <v>6260</v>
      </c>
      <c r="W451" t="s">
        <v>6261</v>
      </c>
      <c r="X451" t="s">
        <v>6262</v>
      </c>
      <c r="Y451" t="s">
        <v>6263</v>
      </c>
      <c r="Z451" t="s">
        <v>6264</v>
      </c>
      <c r="AA451" t="s">
        <v>6265</v>
      </c>
      <c r="AB451" t="s">
        <v>6266</v>
      </c>
      <c r="AC451" t="s">
        <v>3566</v>
      </c>
      <c r="AD451" t="s">
        <v>3566</v>
      </c>
      <c r="AE451" t="s">
        <v>6267</v>
      </c>
      <c r="AF451" t="s">
        <v>74</v>
      </c>
      <c r="AG451">
        <v>25</v>
      </c>
      <c r="AH451">
        <v>129</v>
      </c>
      <c r="AI451">
        <v>144</v>
      </c>
      <c r="AJ451">
        <v>23</v>
      </c>
      <c r="AK451">
        <v>175</v>
      </c>
      <c r="AL451" t="s">
        <v>1059</v>
      </c>
      <c r="AM451" t="s">
        <v>1060</v>
      </c>
      <c r="AN451" t="s">
        <v>1061</v>
      </c>
      <c r="AO451" t="s">
        <v>4764</v>
      </c>
      <c r="AP451" t="s">
        <v>74</v>
      </c>
      <c r="AQ451" t="s">
        <v>74</v>
      </c>
      <c r="AR451" t="s">
        <v>4765</v>
      </c>
      <c r="AS451" t="s">
        <v>4766</v>
      </c>
      <c r="AT451" t="s">
        <v>6268</v>
      </c>
      <c r="AU451">
        <v>2000</v>
      </c>
      <c r="AV451">
        <v>1</v>
      </c>
      <c r="AW451" t="s">
        <v>74</v>
      </c>
      <c r="AX451" t="s">
        <v>74</v>
      </c>
      <c r="AY451" t="s">
        <v>74</v>
      </c>
      <c r="AZ451" t="s">
        <v>74</v>
      </c>
      <c r="BA451" t="s">
        <v>74</v>
      </c>
      <c r="BB451" t="s">
        <v>74</v>
      </c>
      <c r="BC451" t="s">
        <v>74</v>
      </c>
      <c r="BD451" t="s">
        <v>74</v>
      </c>
      <c r="BE451" t="s">
        <v>6269</v>
      </c>
      <c r="BF451" t="str">
        <f>HYPERLINK("http://dx.doi.org/10.1029/2000GC000086","http://dx.doi.org/10.1029/2000GC000086")</f>
        <v>http://dx.doi.org/10.1029/2000GC000086</v>
      </c>
      <c r="BG451" t="s">
        <v>74</v>
      </c>
      <c r="BH451" t="s">
        <v>74</v>
      </c>
      <c r="BI451">
        <v>12</v>
      </c>
      <c r="BJ451" t="s">
        <v>953</v>
      </c>
      <c r="BK451" t="s">
        <v>94</v>
      </c>
      <c r="BL451" t="s">
        <v>953</v>
      </c>
      <c r="BM451" t="s">
        <v>6270</v>
      </c>
      <c r="BN451" t="s">
        <v>74</v>
      </c>
      <c r="BO451" t="s">
        <v>1755</v>
      </c>
      <c r="BP451" t="s">
        <v>74</v>
      </c>
      <c r="BQ451" t="s">
        <v>74</v>
      </c>
      <c r="BR451" t="s">
        <v>97</v>
      </c>
      <c r="BS451" t="s">
        <v>6271</v>
      </c>
      <c r="BT451" t="str">
        <f>HYPERLINK("https%3A%2F%2Fwww.webofscience.com%2Fwos%2Fwoscc%2Ffull-record%2FWOS:000208273200002","View Full Record in Web of Science")</f>
        <v>View Full Record in Web of Science</v>
      </c>
    </row>
    <row r="452" spans="1:72" x14ac:dyDescent="0.15">
      <c r="A452" t="s">
        <v>72</v>
      </c>
      <c r="B452" t="s">
        <v>6272</v>
      </c>
      <c r="C452" t="s">
        <v>74</v>
      </c>
      <c r="D452" t="s">
        <v>74</v>
      </c>
      <c r="E452" t="s">
        <v>74</v>
      </c>
      <c r="F452" t="s">
        <v>6272</v>
      </c>
      <c r="G452" t="s">
        <v>74</v>
      </c>
      <c r="H452" t="s">
        <v>74</v>
      </c>
      <c r="I452" t="s">
        <v>6273</v>
      </c>
      <c r="J452" t="s">
        <v>4772</v>
      </c>
      <c r="K452" t="s">
        <v>74</v>
      </c>
      <c r="L452" t="s">
        <v>74</v>
      </c>
      <c r="M452" t="s">
        <v>77</v>
      </c>
      <c r="N452" t="s">
        <v>78</v>
      </c>
      <c r="O452" t="s">
        <v>74</v>
      </c>
      <c r="P452" t="s">
        <v>74</v>
      </c>
      <c r="Q452" t="s">
        <v>74</v>
      </c>
      <c r="R452" t="s">
        <v>74</v>
      </c>
      <c r="S452" t="s">
        <v>74</v>
      </c>
      <c r="T452" t="s">
        <v>74</v>
      </c>
      <c r="U452" t="s">
        <v>6274</v>
      </c>
      <c r="V452" t="s">
        <v>6275</v>
      </c>
      <c r="W452" t="s">
        <v>6276</v>
      </c>
      <c r="X452" t="s">
        <v>6277</v>
      </c>
      <c r="Y452" t="s">
        <v>6278</v>
      </c>
      <c r="Z452" t="s">
        <v>6279</v>
      </c>
      <c r="AA452" t="s">
        <v>74</v>
      </c>
      <c r="AB452" t="s">
        <v>74</v>
      </c>
      <c r="AC452" t="s">
        <v>74</v>
      </c>
      <c r="AD452" t="s">
        <v>74</v>
      </c>
      <c r="AE452" t="s">
        <v>74</v>
      </c>
      <c r="AF452" t="s">
        <v>74</v>
      </c>
      <c r="AG452">
        <v>24</v>
      </c>
      <c r="AH452">
        <v>11</v>
      </c>
      <c r="AI452">
        <v>13</v>
      </c>
      <c r="AJ452">
        <v>0</v>
      </c>
      <c r="AK452">
        <v>1</v>
      </c>
      <c r="AL452" t="s">
        <v>1059</v>
      </c>
      <c r="AM452" t="s">
        <v>1060</v>
      </c>
      <c r="AN452" t="s">
        <v>1061</v>
      </c>
      <c r="AO452" t="s">
        <v>4798</v>
      </c>
      <c r="AP452" t="s">
        <v>74</v>
      </c>
      <c r="AQ452" t="s">
        <v>74</v>
      </c>
      <c r="AR452" t="s">
        <v>4781</v>
      </c>
      <c r="AS452" t="s">
        <v>4782</v>
      </c>
      <c r="AT452" t="s">
        <v>6280</v>
      </c>
      <c r="AU452">
        <v>2000</v>
      </c>
      <c r="AV452">
        <v>105</v>
      </c>
      <c r="AW452" t="s">
        <v>6281</v>
      </c>
      <c r="AX452" t="s">
        <v>74</v>
      </c>
      <c r="AY452" t="s">
        <v>74</v>
      </c>
      <c r="AZ452" t="s">
        <v>74</v>
      </c>
      <c r="BA452" t="s">
        <v>74</v>
      </c>
      <c r="BB452">
        <v>26683</v>
      </c>
      <c r="BC452">
        <v>26693</v>
      </c>
      <c r="BD452" t="s">
        <v>74</v>
      </c>
      <c r="BE452" t="s">
        <v>6282</v>
      </c>
      <c r="BF452" t="str">
        <f>HYPERLINK("http://dx.doi.org/10.1029/2000JD900510","http://dx.doi.org/10.1029/2000JD900510")</f>
        <v>http://dx.doi.org/10.1029/2000JD900510</v>
      </c>
      <c r="BG452" t="s">
        <v>74</v>
      </c>
      <c r="BH452" t="s">
        <v>74</v>
      </c>
      <c r="BI452">
        <v>11</v>
      </c>
      <c r="BJ452" t="s">
        <v>167</v>
      </c>
      <c r="BK452" t="s">
        <v>94</v>
      </c>
      <c r="BL452" t="s">
        <v>167</v>
      </c>
      <c r="BM452" t="s">
        <v>6283</v>
      </c>
      <c r="BN452" t="s">
        <v>74</v>
      </c>
      <c r="BO452" t="s">
        <v>1337</v>
      </c>
      <c r="BP452" t="s">
        <v>74</v>
      </c>
      <c r="BQ452" t="s">
        <v>74</v>
      </c>
      <c r="BR452" t="s">
        <v>97</v>
      </c>
      <c r="BS452" t="s">
        <v>6284</v>
      </c>
      <c r="BT452" t="str">
        <f>HYPERLINK("https%3A%2F%2Fwww.webofscience.com%2Fwos%2Fwoscc%2Ffull-record%2FWOS:000165421600027","View Full Record in Web of Science")</f>
        <v>View Full Record in Web of Science</v>
      </c>
    </row>
    <row r="453" spans="1:72" x14ac:dyDescent="0.15">
      <c r="A453" t="s">
        <v>72</v>
      </c>
      <c r="B453" t="s">
        <v>6285</v>
      </c>
      <c r="C453" t="s">
        <v>74</v>
      </c>
      <c r="D453" t="s">
        <v>74</v>
      </c>
      <c r="E453" t="s">
        <v>74</v>
      </c>
      <c r="F453" t="s">
        <v>6285</v>
      </c>
      <c r="G453" t="s">
        <v>74</v>
      </c>
      <c r="H453" t="s">
        <v>74</v>
      </c>
      <c r="I453" t="s">
        <v>6286</v>
      </c>
      <c r="J453" t="s">
        <v>4671</v>
      </c>
      <c r="K453" t="s">
        <v>74</v>
      </c>
      <c r="L453" t="s">
        <v>74</v>
      </c>
      <c r="M453" t="s">
        <v>77</v>
      </c>
      <c r="N453" t="s">
        <v>78</v>
      </c>
      <c r="O453" t="s">
        <v>74</v>
      </c>
      <c r="P453" t="s">
        <v>74</v>
      </c>
      <c r="Q453" t="s">
        <v>74</v>
      </c>
      <c r="R453" t="s">
        <v>74</v>
      </c>
      <c r="S453" t="s">
        <v>74</v>
      </c>
      <c r="T453" t="s">
        <v>6287</v>
      </c>
      <c r="U453" t="s">
        <v>6288</v>
      </c>
      <c r="V453" t="s">
        <v>6289</v>
      </c>
      <c r="W453" t="s">
        <v>6290</v>
      </c>
      <c r="X453" t="s">
        <v>6291</v>
      </c>
      <c r="Y453" t="s">
        <v>6292</v>
      </c>
      <c r="Z453" t="s">
        <v>6293</v>
      </c>
      <c r="AA453" t="s">
        <v>2312</v>
      </c>
      <c r="AB453" t="s">
        <v>74</v>
      </c>
      <c r="AC453" t="s">
        <v>74</v>
      </c>
      <c r="AD453" t="s">
        <v>74</v>
      </c>
      <c r="AE453" t="s">
        <v>74</v>
      </c>
      <c r="AF453" t="s">
        <v>74</v>
      </c>
      <c r="AG453">
        <v>39</v>
      </c>
      <c r="AH453">
        <v>40</v>
      </c>
      <c r="AI453">
        <v>47</v>
      </c>
      <c r="AJ453">
        <v>0</v>
      </c>
      <c r="AK453">
        <v>4</v>
      </c>
      <c r="AL453" t="s">
        <v>1120</v>
      </c>
      <c r="AM453" t="s">
        <v>1121</v>
      </c>
      <c r="AN453" t="s">
        <v>2394</v>
      </c>
      <c r="AO453" t="s">
        <v>4680</v>
      </c>
      <c r="AP453" t="s">
        <v>4681</v>
      </c>
      <c r="AQ453" t="s">
        <v>74</v>
      </c>
      <c r="AR453" t="s">
        <v>4682</v>
      </c>
      <c r="AS453" t="s">
        <v>4683</v>
      </c>
      <c r="AT453" t="s">
        <v>6294</v>
      </c>
      <c r="AU453">
        <v>2000</v>
      </c>
      <c r="AV453">
        <v>182</v>
      </c>
      <c r="AW453" t="s">
        <v>1046</v>
      </c>
      <c r="AX453" t="s">
        <v>74</v>
      </c>
      <c r="AY453" t="s">
        <v>74</v>
      </c>
      <c r="AZ453" t="s">
        <v>74</v>
      </c>
      <c r="BA453" t="s">
        <v>74</v>
      </c>
      <c r="BB453">
        <v>259</v>
      </c>
      <c r="BC453">
        <v>272</v>
      </c>
      <c r="BD453" t="s">
        <v>74</v>
      </c>
      <c r="BE453" t="s">
        <v>6295</v>
      </c>
      <c r="BF453" t="str">
        <f>HYPERLINK("http://dx.doi.org/10.1016/S0012-821X(00)00257-0","http://dx.doi.org/10.1016/S0012-821X(00)00257-0")</f>
        <v>http://dx.doi.org/10.1016/S0012-821X(00)00257-0</v>
      </c>
      <c r="BG453" t="s">
        <v>74</v>
      </c>
      <c r="BH453" t="s">
        <v>74</v>
      </c>
      <c r="BI453">
        <v>14</v>
      </c>
      <c r="BJ453" t="s">
        <v>953</v>
      </c>
      <c r="BK453" t="s">
        <v>94</v>
      </c>
      <c r="BL453" t="s">
        <v>953</v>
      </c>
      <c r="BM453" t="s">
        <v>6296</v>
      </c>
      <c r="BN453" t="s">
        <v>74</v>
      </c>
      <c r="BO453" t="s">
        <v>74</v>
      </c>
      <c r="BP453" t="s">
        <v>74</v>
      </c>
      <c r="BQ453" t="s">
        <v>74</v>
      </c>
      <c r="BR453" t="s">
        <v>97</v>
      </c>
      <c r="BS453" t="s">
        <v>6297</v>
      </c>
      <c r="BT453" t="str">
        <f>HYPERLINK("https%3A%2F%2Fwww.webofscience.com%2Fwos%2Fwoscc%2Ffull-record%2FWOS:000165253000006","View Full Record in Web of Science")</f>
        <v>View Full Record in Web of Science</v>
      </c>
    </row>
    <row r="454" spans="1:72" x14ac:dyDescent="0.15">
      <c r="A454" t="s">
        <v>72</v>
      </c>
      <c r="B454" t="s">
        <v>6298</v>
      </c>
      <c r="C454" t="s">
        <v>74</v>
      </c>
      <c r="D454" t="s">
        <v>74</v>
      </c>
      <c r="E454" t="s">
        <v>74</v>
      </c>
      <c r="F454" t="s">
        <v>6298</v>
      </c>
      <c r="G454" t="s">
        <v>74</v>
      </c>
      <c r="H454" t="s">
        <v>74</v>
      </c>
      <c r="I454" t="s">
        <v>6299</v>
      </c>
      <c r="J454" t="s">
        <v>1053</v>
      </c>
      <c r="K454" t="s">
        <v>74</v>
      </c>
      <c r="L454" t="s">
        <v>74</v>
      </c>
      <c r="M454" t="s">
        <v>77</v>
      </c>
      <c r="N454" t="s">
        <v>78</v>
      </c>
      <c r="O454" t="s">
        <v>74</v>
      </c>
      <c r="P454" t="s">
        <v>74</v>
      </c>
      <c r="Q454" t="s">
        <v>74</v>
      </c>
      <c r="R454" t="s">
        <v>74</v>
      </c>
      <c r="S454" t="s">
        <v>74</v>
      </c>
      <c r="T454" t="s">
        <v>74</v>
      </c>
      <c r="U454" t="s">
        <v>74</v>
      </c>
      <c r="V454" t="s">
        <v>6300</v>
      </c>
      <c r="W454" t="s">
        <v>6301</v>
      </c>
      <c r="X454" t="s">
        <v>6302</v>
      </c>
      <c r="Y454" t="s">
        <v>6303</v>
      </c>
      <c r="Z454" t="s">
        <v>74</v>
      </c>
      <c r="AA454" t="s">
        <v>6304</v>
      </c>
      <c r="AB454" t="s">
        <v>6305</v>
      </c>
      <c r="AC454" t="s">
        <v>74</v>
      </c>
      <c r="AD454" t="s">
        <v>74</v>
      </c>
      <c r="AE454" t="s">
        <v>74</v>
      </c>
      <c r="AF454" t="s">
        <v>74</v>
      </c>
      <c r="AG454">
        <v>14</v>
      </c>
      <c r="AH454">
        <v>70</v>
      </c>
      <c r="AI454">
        <v>78</v>
      </c>
      <c r="AJ454">
        <v>1</v>
      </c>
      <c r="AK454">
        <v>15</v>
      </c>
      <c r="AL454" t="s">
        <v>1059</v>
      </c>
      <c r="AM454" t="s">
        <v>1060</v>
      </c>
      <c r="AN454" t="s">
        <v>1061</v>
      </c>
      <c r="AO454" t="s">
        <v>1062</v>
      </c>
      <c r="AP454" t="s">
        <v>74</v>
      </c>
      <c r="AQ454" t="s">
        <v>74</v>
      </c>
      <c r="AR454" t="s">
        <v>1063</v>
      </c>
      <c r="AS454" t="s">
        <v>1064</v>
      </c>
      <c r="AT454" t="s">
        <v>6294</v>
      </c>
      <c r="AU454">
        <v>2000</v>
      </c>
      <c r="AV454">
        <v>27</v>
      </c>
      <c r="AW454">
        <v>22</v>
      </c>
      <c r="AX454" t="s">
        <v>74</v>
      </c>
      <c r="AY454" t="s">
        <v>74</v>
      </c>
      <c r="AZ454" t="s">
        <v>74</v>
      </c>
      <c r="BA454" t="s">
        <v>74</v>
      </c>
      <c r="BB454">
        <v>3719</v>
      </c>
      <c r="BC454">
        <v>3722</v>
      </c>
      <c r="BD454" t="s">
        <v>74</v>
      </c>
      <c r="BE454" t="s">
        <v>6306</v>
      </c>
      <c r="BF454" t="str">
        <f>HYPERLINK("http://dx.doi.org/10.1029/1999GL011248","http://dx.doi.org/10.1029/1999GL011248")</f>
        <v>http://dx.doi.org/10.1029/1999GL011248</v>
      </c>
      <c r="BG454" t="s">
        <v>74</v>
      </c>
      <c r="BH454" t="s">
        <v>74</v>
      </c>
      <c r="BI454">
        <v>4</v>
      </c>
      <c r="BJ454" t="s">
        <v>595</v>
      </c>
      <c r="BK454" t="s">
        <v>94</v>
      </c>
      <c r="BL454" t="s">
        <v>597</v>
      </c>
      <c r="BM454" t="s">
        <v>6307</v>
      </c>
      <c r="BN454" t="s">
        <v>74</v>
      </c>
      <c r="BO454" t="s">
        <v>1755</v>
      </c>
      <c r="BP454" t="s">
        <v>74</v>
      </c>
      <c r="BQ454" t="s">
        <v>74</v>
      </c>
      <c r="BR454" t="s">
        <v>97</v>
      </c>
      <c r="BS454" t="s">
        <v>6308</v>
      </c>
      <c r="BT454" t="str">
        <f>HYPERLINK("https%3A%2F%2Fwww.webofscience.com%2Fwos%2Fwoscc%2Ffull-record%2FWOS:000165418200029","View Full Record in Web of Science")</f>
        <v>View Full Record in Web of Science</v>
      </c>
    </row>
    <row r="455" spans="1:72" x14ac:dyDescent="0.15">
      <c r="A455" t="s">
        <v>72</v>
      </c>
      <c r="B455" t="s">
        <v>6309</v>
      </c>
      <c r="C455" t="s">
        <v>74</v>
      </c>
      <c r="D455" t="s">
        <v>74</v>
      </c>
      <c r="E455" t="s">
        <v>74</v>
      </c>
      <c r="F455" t="s">
        <v>6309</v>
      </c>
      <c r="G455" t="s">
        <v>74</v>
      </c>
      <c r="H455" t="s">
        <v>74</v>
      </c>
      <c r="I455" t="s">
        <v>6310</v>
      </c>
      <c r="J455" t="s">
        <v>1053</v>
      </c>
      <c r="K455" t="s">
        <v>74</v>
      </c>
      <c r="L455" t="s">
        <v>74</v>
      </c>
      <c r="M455" t="s">
        <v>77</v>
      </c>
      <c r="N455" t="s">
        <v>78</v>
      </c>
      <c r="O455" t="s">
        <v>74</v>
      </c>
      <c r="P455" t="s">
        <v>74</v>
      </c>
      <c r="Q455" t="s">
        <v>74</v>
      </c>
      <c r="R455" t="s">
        <v>74</v>
      </c>
      <c r="S455" t="s">
        <v>74</v>
      </c>
      <c r="T455" t="s">
        <v>74</v>
      </c>
      <c r="U455" t="s">
        <v>6311</v>
      </c>
      <c r="V455" t="s">
        <v>6312</v>
      </c>
      <c r="W455" t="s">
        <v>6313</v>
      </c>
      <c r="X455" t="s">
        <v>2521</v>
      </c>
      <c r="Y455" t="s">
        <v>6314</v>
      </c>
      <c r="Z455" t="s">
        <v>74</v>
      </c>
      <c r="AA455" t="s">
        <v>6315</v>
      </c>
      <c r="AB455" t="s">
        <v>6316</v>
      </c>
      <c r="AC455" t="s">
        <v>74</v>
      </c>
      <c r="AD455" t="s">
        <v>74</v>
      </c>
      <c r="AE455" t="s">
        <v>74</v>
      </c>
      <c r="AF455" t="s">
        <v>74</v>
      </c>
      <c r="AG455">
        <v>13</v>
      </c>
      <c r="AH455">
        <v>20</v>
      </c>
      <c r="AI455">
        <v>22</v>
      </c>
      <c r="AJ455">
        <v>0</v>
      </c>
      <c r="AK455">
        <v>4</v>
      </c>
      <c r="AL455" t="s">
        <v>1059</v>
      </c>
      <c r="AM455" t="s">
        <v>1060</v>
      </c>
      <c r="AN455" t="s">
        <v>1061</v>
      </c>
      <c r="AO455" t="s">
        <v>1062</v>
      </c>
      <c r="AP455" t="s">
        <v>74</v>
      </c>
      <c r="AQ455" t="s">
        <v>74</v>
      </c>
      <c r="AR455" t="s">
        <v>1063</v>
      </c>
      <c r="AS455" t="s">
        <v>1064</v>
      </c>
      <c r="AT455" t="s">
        <v>6294</v>
      </c>
      <c r="AU455">
        <v>2000</v>
      </c>
      <c r="AV455">
        <v>27</v>
      </c>
      <c r="AW455">
        <v>22</v>
      </c>
      <c r="AX455" t="s">
        <v>74</v>
      </c>
      <c r="AY455" t="s">
        <v>74</v>
      </c>
      <c r="AZ455" t="s">
        <v>74</v>
      </c>
      <c r="BA455" t="s">
        <v>74</v>
      </c>
      <c r="BB455">
        <v>3739</v>
      </c>
      <c r="BC455">
        <v>3742</v>
      </c>
      <c r="BD455" t="s">
        <v>74</v>
      </c>
      <c r="BE455" t="s">
        <v>6317</v>
      </c>
      <c r="BF455" t="str">
        <f>HYPERLINK("http://dx.doi.org/10.1029/2000GL011675","http://dx.doi.org/10.1029/2000GL011675")</f>
        <v>http://dx.doi.org/10.1029/2000GL011675</v>
      </c>
      <c r="BG455" t="s">
        <v>74</v>
      </c>
      <c r="BH455" t="s">
        <v>74</v>
      </c>
      <c r="BI455">
        <v>4</v>
      </c>
      <c r="BJ455" t="s">
        <v>595</v>
      </c>
      <c r="BK455" t="s">
        <v>94</v>
      </c>
      <c r="BL455" t="s">
        <v>597</v>
      </c>
      <c r="BM455" t="s">
        <v>6307</v>
      </c>
      <c r="BN455" t="s">
        <v>74</v>
      </c>
      <c r="BO455" t="s">
        <v>1755</v>
      </c>
      <c r="BP455" t="s">
        <v>74</v>
      </c>
      <c r="BQ455" t="s">
        <v>74</v>
      </c>
      <c r="BR455" t="s">
        <v>97</v>
      </c>
      <c r="BS455" t="s">
        <v>6318</v>
      </c>
      <c r="BT455" t="str">
        <f>HYPERLINK("https%3A%2F%2Fwww.webofscience.com%2Fwos%2Fwoscc%2Ffull-record%2FWOS:000165418200034","View Full Record in Web of Science")</f>
        <v>View Full Record in Web of Science</v>
      </c>
    </row>
    <row r="456" spans="1:72" x14ac:dyDescent="0.15">
      <c r="A456" t="s">
        <v>72</v>
      </c>
      <c r="B456" t="s">
        <v>6319</v>
      </c>
      <c r="C456" t="s">
        <v>74</v>
      </c>
      <c r="D456" t="s">
        <v>74</v>
      </c>
      <c r="E456" t="s">
        <v>74</v>
      </c>
      <c r="F456" t="s">
        <v>6319</v>
      </c>
      <c r="G456" t="s">
        <v>74</v>
      </c>
      <c r="H456" t="s">
        <v>74</v>
      </c>
      <c r="I456" t="s">
        <v>6320</v>
      </c>
      <c r="J456" t="s">
        <v>1947</v>
      </c>
      <c r="K456" t="s">
        <v>74</v>
      </c>
      <c r="L456" t="s">
        <v>74</v>
      </c>
      <c r="M456" t="s">
        <v>77</v>
      </c>
      <c r="N456" t="s">
        <v>78</v>
      </c>
      <c r="O456" t="s">
        <v>74</v>
      </c>
      <c r="P456" t="s">
        <v>74</v>
      </c>
      <c r="Q456" t="s">
        <v>74</v>
      </c>
      <c r="R456" t="s">
        <v>74</v>
      </c>
      <c r="S456" t="s">
        <v>74</v>
      </c>
      <c r="T456" t="s">
        <v>74</v>
      </c>
      <c r="U456" t="s">
        <v>6321</v>
      </c>
      <c r="V456" t="s">
        <v>6322</v>
      </c>
      <c r="W456" t="s">
        <v>6323</v>
      </c>
      <c r="X456" t="s">
        <v>6324</v>
      </c>
      <c r="Y456" t="s">
        <v>6325</v>
      </c>
      <c r="Z456" t="s">
        <v>74</v>
      </c>
      <c r="AA456" t="s">
        <v>6326</v>
      </c>
      <c r="AB456" t="s">
        <v>74</v>
      </c>
      <c r="AC456" t="s">
        <v>74</v>
      </c>
      <c r="AD456" t="s">
        <v>74</v>
      </c>
      <c r="AE456" t="s">
        <v>74</v>
      </c>
      <c r="AF456" t="s">
        <v>74</v>
      </c>
      <c r="AG456">
        <v>28</v>
      </c>
      <c r="AH456">
        <v>202</v>
      </c>
      <c r="AI456">
        <v>225</v>
      </c>
      <c r="AJ456">
        <v>1</v>
      </c>
      <c r="AK456">
        <v>16</v>
      </c>
      <c r="AL456" t="s">
        <v>1842</v>
      </c>
      <c r="AM456" t="s">
        <v>1843</v>
      </c>
      <c r="AN456" t="s">
        <v>1844</v>
      </c>
      <c r="AO456" t="s">
        <v>1951</v>
      </c>
      <c r="AP456" t="s">
        <v>74</v>
      </c>
      <c r="AQ456" t="s">
        <v>74</v>
      </c>
      <c r="AR456" t="s">
        <v>1952</v>
      </c>
      <c r="AS456" t="s">
        <v>1953</v>
      </c>
      <c r="AT456" t="s">
        <v>6294</v>
      </c>
      <c r="AU456">
        <v>2000</v>
      </c>
      <c r="AV456">
        <v>13</v>
      </c>
      <c r="AW456">
        <v>22</v>
      </c>
      <c r="AX456" t="s">
        <v>74</v>
      </c>
      <c r="AY456" t="s">
        <v>74</v>
      </c>
      <c r="AZ456" t="s">
        <v>74</v>
      </c>
      <c r="BA456" t="s">
        <v>74</v>
      </c>
      <c r="BB456">
        <v>3940</v>
      </c>
      <c r="BC456">
        <v>3952</v>
      </c>
      <c r="BD456" t="s">
        <v>74</v>
      </c>
      <c r="BE456" t="s">
        <v>6327</v>
      </c>
      <c r="BF456" t="str">
        <f>HYPERLINK("http://dx.doi.org/10.1175/1520-0442(2000)013&lt;3940:ASPTIT&gt;2.0.CO;2","http://dx.doi.org/10.1175/1520-0442(2000)013&lt;3940:ASPTIT&gt;2.0.CO;2")</f>
        <v>http://dx.doi.org/10.1175/1520-0442(2000)013&lt;3940:ASPTIT&gt;2.0.CO;2</v>
      </c>
      <c r="BG456" t="s">
        <v>74</v>
      </c>
      <c r="BH456" t="s">
        <v>74</v>
      </c>
      <c r="BI456">
        <v>13</v>
      </c>
      <c r="BJ456" t="s">
        <v>167</v>
      </c>
      <c r="BK456" t="s">
        <v>94</v>
      </c>
      <c r="BL456" t="s">
        <v>167</v>
      </c>
      <c r="BM456" t="s">
        <v>6328</v>
      </c>
      <c r="BN456" t="s">
        <v>74</v>
      </c>
      <c r="BO456" t="s">
        <v>1755</v>
      </c>
      <c r="BP456" t="s">
        <v>74</v>
      </c>
      <c r="BQ456" t="s">
        <v>74</v>
      </c>
      <c r="BR456" t="s">
        <v>97</v>
      </c>
      <c r="BS456" t="s">
        <v>6329</v>
      </c>
      <c r="BT456" t="str">
        <f>HYPERLINK("https%3A%2F%2Fwww.webofscience.com%2Fwos%2Fwoscc%2Ffull-record%2FWOS:000165433200003","View Full Record in Web of Science")</f>
        <v>View Full Record in Web of Science</v>
      </c>
    </row>
    <row r="457" spans="1:72" x14ac:dyDescent="0.15">
      <c r="A457" t="s">
        <v>72</v>
      </c>
      <c r="B457" t="s">
        <v>6330</v>
      </c>
      <c r="C457" t="s">
        <v>74</v>
      </c>
      <c r="D457" t="s">
        <v>74</v>
      </c>
      <c r="E457" t="s">
        <v>74</v>
      </c>
      <c r="F457" t="s">
        <v>6330</v>
      </c>
      <c r="G457" t="s">
        <v>74</v>
      </c>
      <c r="H457" t="s">
        <v>74</v>
      </c>
      <c r="I457" t="s">
        <v>6331</v>
      </c>
      <c r="J457" t="s">
        <v>4907</v>
      </c>
      <c r="K457" t="s">
        <v>74</v>
      </c>
      <c r="L457" t="s">
        <v>74</v>
      </c>
      <c r="M457" t="s">
        <v>77</v>
      </c>
      <c r="N457" t="s">
        <v>78</v>
      </c>
      <c r="O457" t="s">
        <v>74</v>
      </c>
      <c r="P457" t="s">
        <v>74</v>
      </c>
      <c r="Q457" t="s">
        <v>74</v>
      </c>
      <c r="R457" t="s">
        <v>74</v>
      </c>
      <c r="S457" t="s">
        <v>74</v>
      </c>
      <c r="T457" t="s">
        <v>74</v>
      </c>
      <c r="U457" t="s">
        <v>6332</v>
      </c>
      <c r="V457" t="s">
        <v>6333</v>
      </c>
      <c r="W457" t="s">
        <v>6334</v>
      </c>
      <c r="X457" t="s">
        <v>6335</v>
      </c>
      <c r="Y457" t="s">
        <v>6336</v>
      </c>
      <c r="Z457" t="s">
        <v>6337</v>
      </c>
      <c r="AA457" t="s">
        <v>74</v>
      </c>
      <c r="AB457" t="s">
        <v>74</v>
      </c>
      <c r="AC457" t="s">
        <v>74</v>
      </c>
      <c r="AD457" t="s">
        <v>74</v>
      </c>
      <c r="AE457" t="s">
        <v>74</v>
      </c>
      <c r="AF457" t="s">
        <v>74</v>
      </c>
      <c r="AG457">
        <v>47</v>
      </c>
      <c r="AH457">
        <v>110</v>
      </c>
      <c r="AI457">
        <v>121</v>
      </c>
      <c r="AJ457">
        <v>0</v>
      </c>
      <c r="AK457">
        <v>16</v>
      </c>
      <c r="AL457" t="s">
        <v>1059</v>
      </c>
      <c r="AM457" t="s">
        <v>1060</v>
      </c>
      <c r="AN457" t="s">
        <v>1061</v>
      </c>
      <c r="AO457" t="s">
        <v>4916</v>
      </c>
      <c r="AP457" t="s">
        <v>4917</v>
      </c>
      <c r="AQ457" t="s">
        <v>74</v>
      </c>
      <c r="AR457" t="s">
        <v>4918</v>
      </c>
      <c r="AS457" t="s">
        <v>4919</v>
      </c>
      <c r="AT457" t="s">
        <v>6294</v>
      </c>
      <c r="AU457">
        <v>2000</v>
      </c>
      <c r="AV457">
        <v>105</v>
      </c>
      <c r="AW457" t="s">
        <v>6338</v>
      </c>
      <c r="AX457" t="s">
        <v>74</v>
      </c>
      <c r="AY457" t="s">
        <v>74</v>
      </c>
      <c r="AZ457" t="s">
        <v>74</v>
      </c>
      <c r="BA457" t="s">
        <v>74</v>
      </c>
      <c r="BB457">
        <v>26301</v>
      </c>
      <c r="BC457">
        <v>26312</v>
      </c>
      <c r="BD457" t="s">
        <v>74</v>
      </c>
      <c r="BE457" t="s">
        <v>6339</v>
      </c>
      <c r="BF457" t="str">
        <f>HYPERLINK("http://dx.doi.org/10.1029/1999JC000296","http://dx.doi.org/10.1029/1999JC000296")</f>
        <v>http://dx.doi.org/10.1029/1999JC000296</v>
      </c>
      <c r="BG457" t="s">
        <v>74</v>
      </c>
      <c r="BH457" t="s">
        <v>74</v>
      </c>
      <c r="BI457">
        <v>12</v>
      </c>
      <c r="BJ457" t="s">
        <v>252</v>
      </c>
      <c r="BK457" t="s">
        <v>94</v>
      </c>
      <c r="BL457" t="s">
        <v>252</v>
      </c>
      <c r="BM457" t="s">
        <v>6340</v>
      </c>
      <c r="BN457" t="s">
        <v>74</v>
      </c>
      <c r="BO457" t="s">
        <v>74</v>
      </c>
      <c r="BP457" t="s">
        <v>74</v>
      </c>
      <c r="BQ457" t="s">
        <v>74</v>
      </c>
      <c r="BR457" t="s">
        <v>97</v>
      </c>
      <c r="BS457" t="s">
        <v>6341</v>
      </c>
      <c r="BT457" t="str">
        <f>HYPERLINK("https%3A%2F%2Fwww.webofscience.com%2Fwos%2Fwoscc%2Ffull-record%2FWOS:000165351900017","View Full Record in Web of Science")</f>
        <v>View Full Record in Web of Science</v>
      </c>
    </row>
    <row r="458" spans="1:72" x14ac:dyDescent="0.15">
      <c r="A458" t="s">
        <v>72</v>
      </c>
      <c r="B458" t="s">
        <v>6342</v>
      </c>
      <c r="C458" t="s">
        <v>74</v>
      </c>
      <c r="D458" t="s">
        <v>74</v>
      </c>
      <c r="E458" t="s">
        <v>74</v>
      </c>
      <c r="F458" t="s">
        <v>6342</v>
      </c>
      <c r="G458" t="s">
        <v>74</v>
      </c>
      <c r="H458" t="s">
        <v>74</v>
      </c>
      <c r="I458" t="s">
        <v>6343</v>
      </c>
      <c r="J458" t="s">
        <v>4907</v>
      </c>
      <c r="K458" t="s">
        <v>74</v>
      </c>
      <c r="L458" t="s">
        <v>74</v>
      </c>
      <c r="M458" t="s">
        <v>77</v>
      </c>
      <c r="N458" t="s">
        <v>78</v>
      </c>
      <c r="O458" t="s">
        <v>74</v>
      </c>
      <c r="P458" t="s">
        <v>74</v>
      </c>
      <c r="Q458" t="s">
        <v>74</v>
      </c>
      <c r="R458" t="s">
        <v>74</v>
      </c>
      <c r="S458" t="s">
        <v>74</v>
      </c>
      <c r="T458" t="s">
        <v>74</v>
      </c>
      <c r="U458" t="s">
        <v>6344</v>
      </c>
      <c r="V458" t="s">
        <v>6345</v>
      </c>
      <c r="W458" t="s">
        <v>6346</v>
      </c>
      <c r="X458" t="s">
        <v>4663</v>
      </c>
      <c r="Y458" t="s">
        <v>6347</v>
      </c>
      <c r="Z458" t="s">
        <v>6348</v>
      </c>
      <c r="AA458" t="s">
        <v>74</v>
      </c>
      <c r="AB458" t="s">
        <v>74</v>
      </c>
      <c r="AC458" t="s">
        <v>74</v>
      </c>
      <c r="AD458" t="s">
        <v>74</v>
      </c>
      <c r="AE458" t="s">
        <v>74</v>
      </c>
      <c r="AF458" t="s">
        <v>74</v>
      </c>
      <c r="AG458">
        <v>67</v>
      </c>
      <c r="AH458">
        <v>62</v>
      </c>
      <c r="AI458">
        <v>68</v>
      </c>
      <c r="AJ458">
        <v>0</v>
      </c>
      <c r="AK458">
        <v>12</v>
      </c>
      <c r="AL458" t="s">
        <v>1059</v>
      </c>
      <c r="AM458" t="s">
        <v>1060</v>
      </c>
      <c r="AN458" t="s">
        <v>1061</v>
      </c>
      <c r="AO458" t="s">
        <v>4916</v>
      </c>
      <c r="AP458" t="s">
        <v>4917</v>
      </c>
      <c r="AQ458" t="s">
        <v>74</v>
      </c>
      <c r="AR458" t="s">
        <v>4918</v>
      </c>
      <c r="AS458" t="s">
        <v>4919</v>
      </c>
      <c r="AT458" t="s">
        <v>6294</v>
      </c>
      <c r="AU458">
        <v>2000</v>
      </c>
      <c r="AV458">
        <v>105</v>
      </c>
      <c r="AW458" t="s">
        <v>6338</v>
      </c>
      <c r="AX458" t="s">
        <v>74</v>
      </c>
      <c r="AY458" t="s">
        <v>74</v>
      </c>
      <c r="AZ458" t="s">
        <v>74</v>
      </c>
      <c r="BA458" t="s">
        <v>74</v>
      </c>
      <c r="BB458">
        <v>26313</v>
      </c>
      <c r="BC458">
        <v>26331</v>
      </c>
      <c r="BD458" t="s">
        <v>74</v>
      </c>
      <c r="BE458" t="s">
        <v>6349</v>
      </c>
      <c r="BF458" t="str">
        <f>HYPERLINK("http://dx.doi.org/10.1029/2000JC900130","http://dx.doi.org/10.1029/2000JC900130")</f>
        <v>http://dx.doi.org/10.1029/2000JC900130</v>
      </c>
      <c r="BG458" t="s">
        <v>74</v>
      </c>
      <c r="BH458" t="s">
        <v>74</v>
      </c>
      <c r="BI458">
        <v>19</v>
      </c>
      <c r="BJ458" t="s">
        <v>252</v>
      </c>
      <c r="BK458" t="s">
        <v>94</v>
      </c>
      <c r="BL458" t="s">
        <v>252</v>
      </c>
      <c r="BM458" t="s">
        <v>6340</v>
      </c>
      <c r="BN458" t="s">
        <v>74</v>
      </c>
      <c r="BO458" t="s">
        <v>74</v>
      </c>
      <c r="BP458" t="s">
        <v>74</v>
      </c>
      <c r="BQ458" t="s">
        <v>74</v>
      </c>
      <c r="BR458" t="s">
        <v>97</v>
      </c>
      <c r="BS458" t="s">
        <v>6350</v>
      </c>
      <c r="BT458" t="str">
        <f>HYPERLINK("https%3A%2F%2Fwww.webofscience.com%2Fwos%2Fwoscc%2Ffull-record%2FWOS:000165351900018","View Full Record in Web of Science")</f>
        <v>View Full Record in Web of Science</v>
      </c>
    </row>
    <row r="459" spans="1:72" x14ac:dyDescent="0.15">
      <c r="A459" t="s">
        <v>72</v>
      </c>
      <c r="B459" t="s">
        <v>6351</v>
      </c>
      <c r="C459" t="s">
        <v>74</v>
      </c>
      <c r="D459" t="s">
        <v>74</v>
      </c>
      <c r="E459" t="s">
        <v>74</v>
      </c>
      <c r="F459" t="s">
        <v>6351</v>
      </c>
      <c r="G459" t="s">
        <v>74</v>
      </c>
      <c r="H459" t="s">
        <v>74</v>
      </c>
      <c r="I459" t="s">
        <v>6352</v>
      </c>
      <c r="J459" t="s">
        <v>4938</v>
      </c>
      <c r="K459" t="s">
        <v>74</v>
      </c>
      <c r="L459" t="s">
        <v>74</v>
      </c>
      <c r="M459" t="s">
        <v>77</v>
      </c>
      <c r="N459" t="s">
        <v>78</v>
      </c>
      <c r="O459" t="s">
        <v>74</v>
      </c>
      <c r="P459" t="s">
        <v>74</v>
      </c>
      <c r="Q459" t="s">
        <v>74</v>
      </c>
      <c r="R459" t="s">
        <v>74</v>
      </c>
      <c r="S459" t="s">
        <v>74</v>
      </c>
      <c r="T459" t="s">
        <v>6353</v>
      </c>
      <c r="U459" t="s">
        <v>6354</v>
      </c>
      <c r="V459" t="s">
        <v>6355</v>
      </c>
      <c r="W459" t="s">
        <v>6356</v>
      </c>
      <c r="X459" t="s">
        <v>6357</v>
      </c>
      <c r="Y459" t="s">
        <v>6358</v>
      </c>
      <c r="Z459" t="s">
        <v>74</v>
      </c>
      <c r="AA459" t="s">
        <v>6359</v>
      </c>
      <c r="AB459" t="s">
        <v>74</v>
      </c>
      <c r="AC459" t="s">
        <v>74</v>
      </c>
      <c r="AD459" t="s">
        <v>74</v>
      </c>
      <c r="AE459" t="s">
        <v>74</v>
      </c>
      <c r="AF459" t="s">
        <v>74</v>
      </c>
      <c r="AG459">
        <v>43</v>
      </c>
      <c r="AH459">
        <v>21</v>
      </c>
      <c r="AI459">
        <v>21</v>
      </c>
      <c r="AJ459">
        <v>0</v>
      </c>
      <c r="AK459">
        <v>3</v>
      </c>
      <c r="AL459" t="s">
        <v>1120</v>
      </c>
      <c r="AM459" t="s">
        <v>1121</v>
      </c>
      <c r="AN459" t="s">
        <v>2394</v>
      </c>
      <c r="AO459" t="s">
        <v>4944</v>
      </c>
      <c r="AP459" t="s">
        <v>74</v>
      </c>
      <c r="AQ459" t="s">
        <v>74</v>
      </c>
      <c r="AR459" t="s">
        <v>4945</v>
      </c>
      <c r="AS459" t="s">
        <v>4946</v>
      </c>
      <c r="AT459" t="s">
        <v>6294</v>
      </c>
      <c r="AU459">
        <v>2000</v>
      </c>
      <c r="AV459">
        <v>170</v>
      </c>
      <c r="AW459" t="s">
        <v>1046</v>
      </c>
      <c r="AX459" t="s">
        <v>74</v>
      </c>
      <c r="AY459" t="s">
        <v>74</v>
      </c>
      <c r="AZ459" t="s">
        <v>74</v>
      </c>
      <c r="BA459" t="s">
        <v>74</v>
      </c>
      <c r="BB459">
        <v>317</v>
      </c>
      <c r="BC459">
        <v>330</v>
      </c>
      <c r="BD459" t="s">
        <v>74</v>
      </c>
      <c r="BE459" t="s">
        <v>6360</v>
      </c>
      <c r="BF459" t="str">
        <f>HYPERLINK("http://dx.doi.org/10.1016/S0025-3227(00)00096-7","http://dx.doi.org/10.1016/S0025-3227(00)00096-7")</f>
        <v>http://dx.doi.org/10.1016/S0025-3227(00)00096-7</v>
      </c>
      <c r="BG459" t="s">
        <v>74</v>
      </c>
      <c r="BH459" t="s">
        <v>74</v>
      </c>
      <c r="BI459">
        <v>14</v>
      </c>
      <c r="BJ459" t="s">
        <v>4948</v>
      </c>
      <c r="BK459" t="s">
        <v>94</v>
      </c>
      <c r="BL459" t="s">
        <v>4949</v>
      </c>
      <c r="BM459" t="s">
        <v>6361</v>
      </c>
      <c r="BN459" t="s">
        <v>74</v>
      </c>
      <c r="BO459" t="s">
        <v>74</v>
      </c>
      <c r="BP459" t="s">
        <v>74</v>
      </c>
      <c r="BQ459" t="s">
        <v>74</v>
      </c>
      <c r="BR459" t="s">
        <v>97</v>
      </c>
      <c r="BS459" t="s">
        <v>6362</v>
      </c>
      <c r="BT459" t="str">
        <f>HYPERLINK("https%3A%2F%2Fwww.webofscience.com%2Fwos%2Fwoscc%2Ffull-record%2FWOS:000165728500005","View Full Record in Web of Science")</f>
        <v>View Full Record in Web of Science</v>
      </c>
    </row>
    <row r="460" spans="1:72" x14ac:dyDescent="0.15">
      <c r="A460" t="s">
        <v>72</v>
      </c>
      <c r="B460" t="s">
        <v>6363</v>
      </c>
      <c r="C460" t="s">
        <v>74</v>
      </c>
      <c r="D460" t="s">
        <v>74</v>
      </c>
      <c r="E460" t="s">
        <v>74</v>
      </c>
      <c r="F460" t="s">
        <v>6363</v>
      </c>
      <c r="G460" t="s">
        <v>74</v>
      </c>
      <c r="H460" t="s">
        <v>74</v>
      </c>
      <c r="I460" t="s">
        <v>6364</v>
      </c>
      <c r="J460" t="s">
        <v>6365</v>
      </c>
      <c r="K460" t="s">
        <v>74</v>
      </c>
      <c r="L460" t="s">
        <v>74</v>
      </c>
      <c r="M460" t="s">
        <v>77</v>
      </c>
      <c r="N460" t="s">
        <v>78</v>
      </c>
      <c r="O460" t="s">
        <v>74</v>
      </c>
      <c r="P460" t="s">
        <v>74</v>
      </c>
      <c r="Q460" t="s">
        <v>74</v>
      </c>
      <c r="R460" t="s">
        <v>74</v>
      </c>
      <c r="S460" t="s">
        <v>74</v>
      </c>
      <c r="T460" t="s">
        <v>6366</v>
      </c>
      <c r="U460" t="s">
        <v>6367</v>
      </c>
      <c r="V460" t="s">
        <v>6368</v>
      </c>
      <c r="W460" t="s">
        <v>6369</v>
      </c>
      <c r="X460" t="s">
        <v>6370</v>
      </c>
      <c r="Y460" t="s">
        <v>6371</v>
      </c>
      <c r="Z460" t="s">
        <v>74</v>
      </c>
      <c r="AA460" t="s">
        <v>5063</v>
      </c>
      <c r="AB460" t="s">
        <v>74</v>
      </c>
      <c r="AC460" t="s">
        <v>74</v>
      </c>
      <c r="AD460" t="s">
        <v>74</v>
      </c>
      <c r="AE460" t="s">
        <v>74</v>
      </c>
      <c r="AF460" t="s">
        <v>74</v>
      </c>
      <c r="AG460">
        <v>14</v>
      </c>
      <c r="AH460">
        <v>24</v>
      </c>
      <c r="AI460">
        <v>30</v>
      </c>
      <c r="AJ460">
        <v>0</v>
      </c>
      <c r="AK460">
        <v>9</v>
      </c>
      <c r="AL460" t="s">
        <v>245</v>
      </c>
      <c r="AM460" t="s">
        <v>246</v>
      </c>
      <c r="AN460" t="s">
        <v>247</v>
      </c>
      <c r="AO460" t="s">
        <v>6372</v>
      </c>
      <c r="AP460" t="s">
        <v>74</v>
      </c>
      <c r="AQ460" t="s">
        <v>74</v>
      </c>
      <c r="AR460" t="s">
        <v>6365</v>
      </c>
      <c r="AS460" t="s">
        <v>6373</v>
      </c>
      <c r="AT460" t="s">
        <v>6374</v>
      </c>
      <c r="AU460">
        <v>2000</v>
      </c>
      <c r="AV460">
        <v>56</v>
      </c>
      <c r="AW460">
        <v>46</v>
      </c>
      <c r="AX460" t="s">
        <v>74</v>
      </c>
      <c r="AY460" t="s">
        <v>74</v>
      </c>
      <c r="AZ460" t="s">
        <v>74</v>
      </c>
      <c r="BA460" t="s">
        <v>74</v>
      </c>
      <c r="BB460">
        <v>9057</v>
      </c>
      <c r="BC460">
        <v>9062</v>
      </c>
      <c r="BD460" t="s">
        <v>74</v>
      </c>
      <c r="BE460" t="s">
        <v>6375</v>
      </c>
      <c r="BF460" t="str">
        <f>HYPERLINK("http://dx.doi.org/10.1016/S0040-4020(00)00760-2","http://dx.doi.org/10.1016/S0040-4020(00)00760-2")</f>
        <v>http://dx.doi.org/10.1016/S0040-4020(00)00760-2</v>
      </c>
      <c r="BG460" t="s">
        <v>74</v>
      </c>
      <c r="BH460" t="s">
        <v>74</v>
      </c>
      <c r="BI460">
        <v>6</v>
      </c>
      <c r="BJ460" t="s">
        <v>6376</v>
      </c>
      <c r="BK460" t="s">
        <v>6377</v>
      </c>
      <c r="BL460" t="s">
        <v>934</v>
      </c>
      <c r="BM460" t="s">
        <v>6378</v>
      </c>
      <c r="BN460" t="s">
        <v>74</v>
      </c>
      <c r="BO460" t="s">
        <v>74</v>
      </c>
      <c r="BP460" t="s">
        <v>74</v>
      </c>
      <c r="BQ460" t="s">
        <v>74</v>
      </c>
      <c r="BR460" t="s">
        <v>97</v>
      </c>
      <c r="BS460" t="s">
        <v>6379</v>
      </c>
      <c r="BT460" t="str">
        <f>HYPERLINK("https%3A%2F%2Fwww.webofscience.com%2Fwos%2Fwoscc%2Ffull-record%2FWOS:000165207700011","View Full Record in Web of Science")</f>
        <v>View Full Record in Web of Science</v>
      </c>
    </row>
    <row r="461" spans="1:72" x14ac:dyDescent="0.15">
      <c r="A461" t="s">
        <v>72</v>
      </c>
      <c r="B461" t="s">
        <v>6380</v>
      </c>
      <c r="C461" t="s">
        <v>74</v>
      </c>
      <c r="D461" t="s">
        <v>74</v>
      </c>
      <c r="E461" t="s">
        <v>74</v>
      </c>
      <c r="F461" t="s">
        <v>6380</v>
      </c>
      <c r="G461" t="s">
        <v>74</v>
      </c>
      <c r="H461" t="s">
        <v>74</v>
      </c>
      <c r="I461" t="s">
        <v>6381</v>
      </c>
      <c r="J461" t="s">
        <v>6382</v>
      </c>
      <c r="K461" t="s">
        <v>74</v>
      </c>
      <c r="L461" t="s">
        <v>74</v>
      </c>
      <c r="M461" t="s">
        <v>77</v>
      </c>
      <c r="N461" t="s">
        <v>78</v>
      </c>
      <c r="O461" t="s">
        <v>74</v>
      </c>
      <c r="P461" t="s">
        <v>74</v>
      </c>
      <c r="Q461" t="s">
        <v>74</v>
      </c>
      <c r="R461" t="s">
        <v>74</v>
      </c>
      <c r="S461" t="s">
        <v>74</v>
      </c>
      <c r="T461" t="s">
        <v>6383</v>
      </c>
      <c r="U461" t="s">
        <v>6384</v>
      </c>
      <c r="V461" t="s">
        <v>6385</v>
      </c>
      <c r="W461" t="s">
        <v>6386</v>
      </c>
      <c r="X461" t="s">
        <v>6387</v>
      </c>
      <c r="Y461" t="s">
        <v>6388</v>
      </c>
      <c r="Z461" t="s">
        <v>6389</v>
      </c>
      <c r="AA461" t="s">
        <v>6390</v>
      </c>
      <c r="AB461" t="s">
        <v>6391</v>
      </c>
      <c r="AC461" t="s">
        <v>74</v>
      </c>
      <c r="AD461" t="s">
        <v>74</v>
      </c>
      <c r="AE461" t="s">
        <v>74</v>
      </c>
      <c r="AF461" t="s">
        <v>74</v>
      </c>
      <c r="AG461">
        <v>27</v>
      </c>
      <c r="AH461">
        <v>18</v>
      </c>
      <c r="AI461">
        <v>18</v>
      </c>
      <c r="AJ461">
        <v>0</v>
      </c>
      <c r="AK461">
        <v>2</v>
      </c>
      <c r="AL461" t="s">
        <v>906</v>
      </c>
      <c r="AM461" t="s">
        <v>160</v>
      </c>
      <c r="AN461" t="s">
        <v>890</v>
      </c>
      <c r="AO461" t="s">
        <v>6392</v>
      </c>
      <c r="AP461" t="s">
        <v>74</v>
      </c>
      <c r="AQ461" t="s">
        <v>74</v>
      </c>
      <c r="AR461" t="s">
        <v>6393</v>
      </c>
      <c r="AS461" t="s">
        <v>6394</v>
      </c>
      <c r="AT461" t="s">
        <v>6395</v>
      </c>
      <c r="AU461">
        <v>2000</v>
      </c>
      <c r="AV461">
        <v>18</v>
      </c>
      <c r="AW461">
        <v>11</v>
      </c>
      <c r="AX461" t="s">
        <v>74</v>
      </c>
      <c r="AY461" t="s">
        <v>74</v>
      </c>
      <c r="AZ461" t="s">
        <v>74</v>
      </c>
      <c r="BA461" t="s">
        <v>74</v>
      </c>
      <c r="BB461">
        <v>1382</v>
      </c>
      <c r="BC461">
        <v>1389</v>
      </c>
      <c r="BD461" t="s">
        <v>74</v>
      </c>
      <c r="BE461" t="s">
        <v>6396</v>
      </c>
      <c r="BF461" t="str">
        <f>HYPERLINK("http://dx.doi.org/10.1007/s00585-000-1382-2","http://dx.doi.org/10.1007/s00585-000-1382-2")</f>
        <v>http://dx.doi.org/10.1007/s00585-000-1382-2</v>
      </c>
      <c r="BG461" t="s">
        <v>74</v>
      </c>
      <c r="BH461" t="s">
        <v>74</v>
      </c>
      <c r="BI461">
        <v>8</v>
      </c>
      <c r="BJ461" t="s">
        <v>6397</v>
      </c>
      <c r="BK461" t="s">
        <v>94</v>
      </c>
      <c r="BL461" t="s">
        <v>6398</v>
      </c>
      <c r="BM461" t="s">
        <v>6399</v>
      </c>
      <c r="BN461" t="s">
        <v>74</v>
      </c>
      <c r="BO461" t="s">
        <v>6400</v>
      </c>
      <c r="BP461" t="s">
        <v>74</v>
      </c>
      <c r="BQ461" t="s">
        <v>74</v>
      </c>
      <c r="BR461" t="s">
        <v>97</v>
      </c>
      <c r="BS461" t="s">
        <v>6401</v>
      </c>
      <c r="BT461" t="str">
        <f>HYPERLINK("https%3A%2F%2Fwww.webofscience.com%2Fwos%2Fwoscc%2Ffull-record%2FWOS:000165431300002","View Full Record in Web of Science")</f>
        <v>View Full Record in Web of Science</v>
      </c>
    </row>
    <row r="462" spans="1:72" x14ac:dyDescent="0.15">
      <c r="A462" t="s">
        <v>72</v>
      </c>
      <c r="B462" t="s">
        <v>6402</v>
      </c>
      <c r="C462" t="s">
        <v>74</v>
      </c>
      <c r="D462" t="s">
        <v>74</v>
      </c>
      <c r="E462" t="s">
        <v>74</v>
      </c>
      <c r="F462" t="s">
        <v>6402</v>
      </c>
      <c r="G462" t="s">
        <v>74</v>
      </c>
      <c r="H462" t="s">
        <v>74</v>
      </c>
      <c r="I462" t="s">
        <v>6403</v>
      </c>
      <c r="J462" t="s">
        <v>6382</v>
      </c>
      <c r="K462" t="s">
        <v>74</v>
      </c>
      <c r="L462" t="s">
        <v>74</v>
      </c>
      <c r="M462" t="s">
        <v>77</v>
      </c>
      <c r="N462" t="s">
        <v>78</v>
      </c>
      <c r="O462" t="s">
        <v>74</v>
      </c>
      <c r="P462" t="s">
        <v>74</v>
      </c>
      <c r="Q462" t="s">
        <v>74</v>
      </c>
      <c r="R462" t="s">
        <v>74</v>
      </c>
      <c r="S462" t="s">
        <v>74</v>
      </c>
      <c r="T462" t="s">
        <v>6404</v>
      </c>
      <c r="U462" t="s">
        <v>6405</v>
      </c>
      <c r="V462" t="s">
        <v>6406</v>
      </c>
      <c r="W462" t="s">
        <v>6407</v>
      </c>
      <c r="X462" t="s">
        <v>6408</v>
      </c>
      <c r="Y462" t="s">
        <v>6409</v>
      </c>
      <c r="Z462" t="s">
        <v>74</v>
      </c>
      <c r="AA462" t="s">
        <v>74</v>
      </c>
      <c r="AB462" t="s">
        <v>6410</v>
      </c>
      <c r="AC462" t="s">
        <v>74</v>
      </c>
      <c r="AD462" t="s">
        <v>74</v>
      </c>
      <c r="AE462" t="s">
        <v>74</v>
      </c>
      <c r="AF462" t="s">
        <v>74</v>
      </c>
      <c r="AG462">
        <v>32</v>
      </c>
      <c r="AH462">
        <v>18</v>
      </c>
      <c r="AI462">
        <v>19</v>
      </c>
      <c r="AJ462">
        <v>0</v>
      </c>
      <c r="AK462">
        <v>3</v>
      </c>
      <c r="AL462" t="s">
        <v>159</v>
      </c>
      <c r="AM462" t="s">
        <v>160</v>
      </c>
      <c r="AN462" t="s">
        <v>161</v>
      </c>
      <c r="AO462" t="s">
        <v>6392</v>
      </c>
      <c r="AP462" t="s">
        <v>74</v>
      </c>
      <c r="AQ462" t="s">
        <v>74</v>
      </c>
      <c r="AR462" t="s">
        <v>6393</v>
      </c>
      <c r="AS462" t="s">
        <v>6394</v>
      </c>
      <c r="AT462" t="s">
        <v>6395</v>
      </c>
      <c r="AU462">
        <v>2000</v>
      </c>
      <c r="AV462">
        <v>18</v>
      </c>
      <c r="AW462">
        <v>11</v>
      </c>
      <c r="AX462" t="s">
        <v>74</v>
      </c>
      <c r="AY462" t="s">
        <v>74</v>
      </c>
      <c r="AZ462" t="s">
        <v>74</v>
      </c>
      <c r="BA462" t="s">
        <v>74</v>
      </c>
      <c r="BB462">
        <v>1412</v>
      </c>
      <c r="BC462">
        <v>1421</v>
      </c>
      <c r="BD462" t="s">
        <v>74</v>
      </c>
      <c r="BE462" t="s">
        <v>6411</v>
      </c>
      <c r="BF462" t="str">
        <f>HYPERLINK("http://dx.doi.org/10.1007/s00585-000-1412-0","http://dx.doi.org/10.1007/s00585-000-1412-0")</f>
        <v>http://dx.doi.org/10.1007/s00585-000-1412-0</v>
      </c>
      <c r="BG462" t="s">
        <v>74</v>
      </c>
      <c r="BH462" t="s">
        <v>74</v>
      </c>
      <c r="BI462">
        <v>10</v>
      </c>
      <c r="BJ462" t="s">
        <v>6397</v>
      </c>
      <c r="BK462" t="s">
        <v>94</v>
      </c>
      <c r="BL462" t="s">
        <v>6398</v>
      </c>
      <c r="BM462" t="s">
        <v>6399</v>
      </c>
      <c r="BN462" t="s">
        <v>74</v>
      </c>
      <c r="BO462" t="s">
        <v>6400</v>
      </c>
      <c r="BP462" t="s">
        <v>74</v>
      </c>
      <c r="BQ462" t="s">
        <v>74</v>
      </c>
      <c r="BR462" t="s">
        <v>97</v>
      </c>
      <c r="BS462" t="s">
        <v>6412</v>
      </c>
      <c r="BT462" t="str">
        <f>HYPERLINK("https%3A%2F%2Fwww.webofscience.com%2Fwos%2Fwoscc%2Ffull-record%2FWOS:000165431300005","View Full Record in Web of Science")</f>
        <v>View Full Record in Web of Science</v>
      </c>
    </row>
    <row r="463" spans="1:72" x14ac:dyDescent="0.15">
      <c r="A463" t="s">
        <v>72</v>
      </c>
      <c r="B463" t="s">
        <v>6413</v>
      </c>
      <c r="C463" t="s">
        <v>74</v>
      </c>
      <c r="D463" t="s">
        <v>74</v>
      </c>
      <c r="E463" t="s">
        <v>74</v>
      </c>
      <c r="F463" t="s">
        <v>6413</v>
      </c>
      <c r="G463" t="s">
        <v>74</v>
      </c>
      <c r="H463" t="s">
        <v>74</v>
      </c>
      <c r="I463" t="s">
        <v>6414</v>
      </c>
      <c r="J463" t="s">
        <v>6415</v>
      </c>
      <c r="K463" t="s">
        <v>74</v>
      </c>
      <c r="L463" t="s">
        <v>74</v>
      </c>
      <c r="M463" t="s">
        <v>77</v>
      </c>
      <c r="N463" t="s">
        <v>2004</v>
      </c>
      <c r="O463" t="s">
        <v>74</v>
      </c>
      <c r="P463" t="s">
        <v>74</v>
      </c>
      <c r="Q463" t="s">
        <v>74</v>
      </c>
      <c r="R463" t="s">
        <v>74</v>
      </c>
      <c r="S463" t="s">
        <v>74</v>
      </c>
      <c r="T463" t="s">
        <v>74</v>
      </c>
      <c r="U463" t="s">
        <v>74</v>
      </c>
      <c r="V463" t="s">
        <v>74</v>
      </c>
      <c r="W463" t="s">
        <v>6416</v>
      </c>
      <c r="X463" t="s">
        <v>6417</v>
      </c>
      <c r="Y463" t="s">
        <v>6418</v>
      </c>
      <c r="Z463" t="s">
        <v>74</v>
      </c>
      <c r="AA463" t="s">
        <v>74</v>
      </c>
      <c r="AB463" t="s">
        <v>74</v>
      </c>
      <c r="AC463" t="s">
        <v>74</v>
      </c>
      <c r="AD463" t="s">
        <v>74</v>
      </c>
      <c r="AE463" t="s">
        <v>74</v>
      </c>
      <c r="AF463" t="s">
        <v>74</v>
      </c>
      <c r="AG463">
        <v>0</v>
      </c>
      <c r="AH463">
        <v>0</v>
      </c>
      <c r="AI463">
        <v>0</v>
      </c>
      <c r="AJ463">
        <v>0</v>
      </c>
      <c r="AK463">
        <v>0</v>
      </c>
      <c r="AL463" t="s">
        <v>6419</v>
      </c>
      <c r="AM463" t="s">
        <v>982</v>
      </c>
      <c r="AN463" t="s">
        <v>6420</v>
      </c>
      <c r="AO463" t="s">
        <v>6421</v>
      </c>
      <c r="AP463" t="s">
        <v>74</v>
      </c>
      <c r="AQ463" t="s">
        <v>74</v>
      </c>
      <c r="AR463" t="s">
        <v>6422</v>
      </c>
      <c r="AS463" t="s">
        <v>6423</v>
      </c>
      <c r="AT463" t="s">
        <v>6395</v>
      </c>
      <c r="AU463">
        <v>2000</v>
      </c>
      <c r="AV463">
        <v>32</v>
      </c>
      <c r="AW463">
        <v>4</v>
      </c>
      <c r="AX463" t="s">
        <v>74</v>
      </c>
      <c r="AY463" t="s">
        <v>74</v>
      </c>
      <c r="AZ463" t="s">
        <v>74</v>
      </c>
      <c r="BA463" t="s">
        <v>74</v>
      </c>
      <c r="BB463">
        <v>367</v>
      </c>
      <c r="BC463">
        <v>367</v>
      </c>
      <c r="BD463" t="s">
        <v>74</v>
      </c>
      <c r="BE463" t="s">
        <v>6424</v>
      </c>
      <c r="BF463" t="str">
        <f>HYPERLINK("http://dx.doi.org/10.1080/15230430.2000.12003378","http://dx.doi.org/10.1080/15230430.2000.12003378")</f>
        <v>http://dx.doi.org/10.1080/15230430.2000.12003378</v>
      </c>
      <c r="BG463" t="s">
        <v>74</v>
      </c>
      <c r="BH463" t="s">
        <v>74</v>
      </c>
      <c r="BI463">
        <v>1</v>
      </c>
      <c r="BJ463" t="s">
        <v>6425</v>
      </c>
      <c r="BK463" t="s">
        <v>94</v>
      </c>
      <c r="BL463" t="s">
        <v>1942</v>
      </c>
      <c r="BM463" t="s">
        <v>6426</v>
      </c>
      <c r="BN463" t="s">
        <v>74</v>
      </c>
      <c r="BO463" t="s">
        <v>1755</v>
      </c>
      <c r="BP463" t="s">
        <v>74</v>
      </c>
      <c r="BQ463" t="s">
        <v>74</v>
      </c>
      <c r="BR463" t="s">
        <v>97</v>
      </c>
      <c r="BS463" t="s">
        <v>6427</v>
      </c>
      <c r="BT463" t="str">
        <f>HYPERLINK("https%3A%2F%2Fwww.webofscience.com%2Fwos%2Fwoscc%2Ffull-record%2FWOS:000165912100001","View Full Record in Web of Science")</f>
        <v>View Full Record in Web of Science</v>
      </c>
    </row>
    <row r="464" spans="1:72" x14ac:dyDescent="0.15">
      <c r="A464" t="s">
        <v>72</v>
      </c>
      <c r="B464" t="s">
        <v>6428</v>
      </c>
      <c r="C464" t="s">
        <v>74</v>
      </c>
      <c r="D464" t="s">
        <v>74</v>
      </c>
      <c r="E464" t="s">
        <v>74</v>
      </c>
      <c r="F464" t="s">
        <v>6428</v>
      </c>
      <c r="G464" t="s">
        <v>74</v>
      </c>
      <c r="H464" t="s">
        <v>74</v>
      </c>
      <c r="I464" t="s">
        <v>6429</v>
      </c>
      <c r="J464" t="s">
        <v>6415</v>
      </c>
      <c r="K464" t="s">
        <v>74</v>
      </c>
      <c r="L464" t="s">
        <v>74</v>
      </c>
      <c r="M464" t="s">
        <v>77</v>
      </c>
      <c r="N464" t="s">
        <v>576</v>
      </c>
      <c r="O464" t="s">
        <v>6430</v>
      </c>
      <c r="P464" t="s">
        <v>6431</v>
      </c>
      <c r="Q464" t="s">
        <v>6432</v>
      </c>
      <c r="R464" t="s">
        <v>74</v>
      </c>
      <c r="S464" t="s">
        <v>74</v>
      </c>
      <c r="T464" t="s">
        <v>74</v>
      </c>
      <c r="U464" t="s">
        <v>6433</v>
      </c>
      <c r="V464" t="s">
        <v>6434</v>
      </c>
      <c r="W464" t="s">
        <v>6435</v>
      </c>
      <c r="X464" t="s">
        <v>6436</v>
      </c>
      <c r="Y464" t="s">
        <v>6437</v>
      </c>
      <c r="Z464" t="s">
        <v>74</v>
      </c>
      <c r="AA464" t="s">
        <v>74</v>
      </c>
      <c r="AB464" t="s">
        <v>74</v>
      </c>
      <c r="AC464" t="s">
        <v>74</v>
      </c>
      <c r="AD464" t="s">
        <v>74</v>
      </c>
      <c r="AE464" t="s">
        <v>74</v>
      </c>
      <c r="AF464" t="s">
        <v>74</v>
      </c>
      <c r="AG464">
        <v>17</v>
      </c>
      <c r="AH464">
        <v>39</v>
      </c>
      <c r="AI464">
        <v>45</v>
      </c>
      <c r="AJ464">
        <v>0</v>
      </c>
      <c r="AK464">
        <v>15</v>
      </c>
      <c r="AL464" t="s">
        <v>6419</v>
      </c>
      <c r="AM464" t="s">
        <v>982</v>
      </c>
      <c r="AN464" t="s">
        <v>6420</v>
      </c>
      <c r="AO464" t="s">
        <v>6421</v>
      </c>
      <c r="AP464" t="s">
        <v>74</v>
      </c>
      <c r="AQ464" t="s">
        <v>74</v>
      </c>
      <c r="AR464" t="s">
        <v>6422</v>
      </c>
      <c r="AS464" t="s">
        <v>6423</v>
      </c>
      <c r="AT464" t="s">
        <v>6395</v>
      </c>
      <c r="AU464">
        <v>2000</v>
      </c>
      <c r="AV464">
        <v>32</v>
      </c>
      <c r="AW464">
        <v>4</v>
      </c>
      <c r="AX464" t="s">
        <v>74</v>
      </c>
      <c r="AY464" t="s">
        <v>74</v>
      </c>
      <c r="AZ464" t="s">
        <v>74</v>
      </c>
      <c r="BA464" t="s">
        <v>74</v>
      </c>
      <c r="BB464">
        <v>368</v>
      </c>
      <c r="BC464">
        <v>374</v>
      </c>
      <c r="BD464" t="s">
        <v>74</v>
      </c>
      <c r="BE464" t="s">
        <v>6438</v>
      </c>
      <c r="BF464" t="str">
        <f>HYPERLINK("http://dx.doi.org/10.2307/1552384","http://dx.doi.org/10.2307/1552384")</f>
        <v>http://dx.doi.org/10.2307/1552384</v>
      </c>
      <c r="BG464" t="s">
        <v>74</v>
      </c>
      <c r="BH464" t="s">
        <v>74</v>
      </c>
      <c r="BI464">
        <v>7</v>
      </c>
      <c r="BJ464" t="s">
        <v>6425</v>
      </c>
      <c r="BK464" t="s">
        <v>596</v>
      </c>
      <c r="BL464" t="s">
        <v>1942</v>
      </c>
      <c r="BM464" t="s">
        <v>6426</v>
      </c>
      <c r="BN464" t="s">
        <v>74</v>
      </c>
      <c r="BO464" t="s">
        <v>74</v>
      </c>
      <c r="BP464" t="s">
        <v>74</v>
      </c>
      <c r="BQ464" t="s">
        <v>74</v>
      </c>
      <c r="BR464" t="s">
        <v>97</v>
      </c>
      <c r="BS464" t="s">
        <v>6439</v>
      </c>
      <c r="BT464" t="str">
        <f>HYPERLINK("https%3A%2F%2Fwww.webofscience.com%2Fwos%2Fwoscc%2Ffull-record%2FWOS:000165912100002","View Full Record in Web of Science")</f>
        <v>View Full Record in Web of Science</v>
      </c>
    </row>
    <row r="465" spans="1:72" x14ac:dyDescent="0.15">
      <c r="A465" t="s">
        <v>72</v>
      </c>
      <c r="B465" t="s">
        <v>6440</v>
      </c>
      <c r="C465" t="s">
        <v>74</v>
      </c>
      <c r="D465" t="s">
        <v>74</v>
      </c>
      <c r="E465" t="s">
        <v>74</v>
      </c>
      <c r="F465" t="s">
        <v>6440</v>
      </c>
      <c r="G465" t="s">
        <v>74</v>
      </c>
      <c r="H465" t="s">
        <v>74</v>
      </c>
      <c r="I465" t="s">
        <v>6441</v>
      </c>
      <c r="J465" t="s">
        <v>6415</v>
      </c>
      <c r="K465" t="s">
        <v>74</v>
      </c>
      <c r="L465" t="s">
        <v>74</v>
      </c>
      <c r="M465" t="s">
        <v>77</v>
      </c>
      <c r="N465" t="s">
        <v>576</v>
      </c>
      <c r="O465" t="s">
        <v>6430</v>
      </c>
      <c r="P465" t="s">
        <v>6431</v>
      </c>
      <c r="Q465" t="s">
        <v>6442</v>
      </c>
      <c r="R465" t="s">
        <v>74</v>
      </c>
      <c r="S465" t="s">
        <v>74</v>
      </c>
      <c r="T465" t="s">
        <v>74</v>
      </c>
      <c r="U465" t="s">
        <v>6443</v>
      </c>
      <c r="V465" t="s">
        <v>6444</v>
      </c>
      <c r="W465" t="s">
        <v>6445</v>
      </c>
      <c r="X465" t="s">
        <v>6446</v>
      </c>
      <c r="Y465" t="s">
        <v>6447</v>
      </c>
      <c r="Z465" t="s">
        <v>6448</v>
      </c>
      <c r="AA465" t="s">
        <v>74</v>
      </c>
      <c r="AB465" t="s">
        <v>74</v>
      </c>
      <c r="AC465" t="s">
        <v>74</v>
      </c>
      <c r="AD465" t="s">
        <v>74</v>
      </c>
      <c r="AE465" t="s">
        <v>74</v>
      </c>
      <c r="AF465" t="s">
        <v>74</v>
      </c>
      <c r="AG465">
        <v>49</v>
      </c>
      <c r="AH465">
        <v>29</v>
      </c>
      <c r="AI465">
        <v>31</v>
      </c>
      <c r="AJ465">
        <v>0</v>
      </c>
      <c r="AK465">
        <v>21</v>
      </c>
      <c r="AL465" t="s">
        <v>1039</v>
      </c>
      <c r="AM465" t="s">
        <v>1040</v>
      </c>
      <c r="AN465" t="s">
        <v>1041</v>
      </c>
      <c r="AO465" t="s">
        <v>6421</v>
      </c>
      <c r="AP465" t="s">
        <v>6449</v>
      </c>
      <c r="AQ465" t="s">
        <v>74</v>
      </c>
      <c r="AR465" t="s">
        <v>6422</v>
      </c>
      <c r="AS465" t="s">
        <v>6423</v>
      </c>
      <c r="AT465" t="s">
        <v>6395</v>
      </c>
      <c r="AU465">
        <v>2000</v>
      </c>
      <c r="AV465">
        <v>32</v>
      </c>
      <c r="AW465">
        <v>4</v>
      </c>
      <c r="AX465" t="s">
        <v>74</v>
      </c>
      <c r="AY465" t="s">
        <v>74</v>
      </c>
      <c r="AZ465" t="s">
        <v>74</v>
      </c>
      <c r="BA465" t="s">
        <v>74</v>
      </c>
      <c r="BB465">
        <v>375</v>
      </c>
      <c r="BC465">
        <v>380</v>
      </c>
      <c r="BD465" t="s">
        <v>74</v>
      </c>
      <c r="BE465" t="s">
        <v>6450</v>
      </c>
      <c r="BF465" t="str">
        <f>HYPERLINK("http://dx.doi.org/10.2307/1552385","http://dx.doi.org/10.2307/1552385")</f>
        <v>http://dx.doi.org/10.2307/1552385</v>
      </c>
      <c r="BG465" t="s">
        <v>74</v>
      </c>
      <c r="BH465" t="s">
        <v>74</v>
      </c>
      <c r="BI465">
        <v>6</v>
      </c>
      <c r="BJ465" t="s">
        <v>6425</v>
      </c>
      <c r="BK465" t="s">
        <v>2763</v>
      </c>
      <c r="BL465" t="s">
        <v>1942</v>
      </c>
      <c r="BM465" t="s">
        <v>6426</v>
      </c>
      <c r="BN465" t="s">
        <v>74</v>
      </c>
      <c r="BO465" t="s">
        <v>1755</v>
      </c>
      <c r="BP465" t="s">
        <v>74</v>
      </c>
      <c r="BQ465" t="s">
        <v>74</v>
      </c>
      <c r="BR465" t="s">
        <v>97</v>
      </c>
      <c r="BS465" t="s">
        <v>6451</v>
      </c>
      <c r="BT465" t="str">
        <f>HYPERLINK("https%3A%2F%2Fwww.webofscience.com%2Fwos%2Fwoscc%2Ffull-record%2FWOS:000165912100003","View Full Record in Web of Science")</f>
        <v>View Full Record in Web of Science</v>
      </c>
    </row>
    <row r="466" spans="1:72" x14ac:dyDescent="0.15">
      <c r="A466" t="s">
        <v>72</v>
      </c>
      <c r="B466" t="s">
        <v>6452</v>
      </c>
      <c r="C466" t="s">
        <v>74</v>
      </c>
      <c r="D466" t="s">
        <v>74</v>
      </c>
      <c r="E466" t="s">
        <v>74</v>
      </c>
      <c r="F466" t="s">
        <v>6452</v>
      </c>
      <c r="G466" t="s">
        <v>74</v>
      </c>
      <c r="H466" t="s">
        <v>74</v>
      </c>
      <c r="I466" t="s">
        <v>6453</v>
      </c>
      <c r="J466" t="s">
        <v>6415</v>
      </c>
      <c r="K466" t="s">
        <v>74</v>
      </c>
      <c r="L466" t="s">
        <v>74</v>
      </c>
      <c r="M466" t="s">
        <v>77</v>
      </c>
      <c r="N466" t="s">
        <v>576</v>
      </c>
      <c r="O466" t="s">
        <v>6430</v>
      </c>
      <c r="P466" t="s">
        <v>6431</v>
      </c>
      <c r="Q466" t="s">
        <v>6442</v>
      </c>
      <c r="R466" t="s">
        <v>74</v>
      </c>
      <c r="S466" t="s">
        <v>74</v>
      </c>
      <c r="T466" t="s">
        <v>74</v>
      </c>
      <c r="U466" t="s">
        <v>6454</v>
      </c>
      <c r="V466" t="s">
        <v>6455</v>
      </c>
      <c r="W466" t="s">
        <v>6456</v>
      </c>
      <c r="X466" t="s">
        <v>6457</v>
      </c>
      <c r="Y466" t="s">
        <v>6458</v>
      </c>
      <c r="Z466" t="s">
        <v>6459</v>
      </c>
      <c r="AA466" t="s">
        <v>6460</v>
      </c>
      <c r="AB466" t="s">
        <v>6461</v>
      </c>
      <c r="AC466" t="s">
        <v>74</v>
      </c>
      <c r="AD466" t="s">
        <v>74</v>
      </c>
      <c r="AE466" t="s">
        <v>74</v>
      </c>
      <c r="AF466" t="s">
        <v>74</v>
      </c>
      <c r="AG466">
        <v>33</v>
      </c>
      <c r="AH466">
        <v>13</v>
      </c>
      <c r="AI466">
        <v>17</v>
      </c>
      <c r="AJ466">
        <v>0</v>
      </c>
      <c r="AK466">
        <v>24</v>
      </c>
      <c r="AL466" t="s">
        <v>1039</v>
      </c>
      <c r="AM466" t="s">
        <v>1040</v>
      </c>
      <c r="AN466" t="s">
        <v>1041</v>
      </c>
      <c r="AO466" t="s">
        <v>6421</v>
      </c>
      <c r="AP466" t="s">
        <v>6449</v>
      </c>
      <c r="AQ466" t="s">
        <v>74</v>
      </c>
      <c r="AR466" t="s">
        <v>6422</v>
      </c>
      <c r="AS466" t="s">
        <v>6423</v>
      </c>
      <c r="AT466" t="s">
        <v>6395</v>
      </c>
      <c r="AU466">
        <v>2000</v>
      </c>
      <c r="AV466">
        <v>32</v>
      </c>
      <c r="AW466">
        <v>4</v>
      </c>
      <c r="AX466" t="s">
        <v>74</v>
      </c>
      <c r="AY466" t="s">
        <v>74</v>
      </c>
      <c r="AZ466" t="s">
        <v>74</v>
      </c>
      <c r="BA466" t="s">
        <v>74</v>
      </c>
      <c r="BB466">
        <v>381</v>
      </c>
      <c r="BC466">
        <v>387</v>
      </c>
      <c r="BD466" t="s">
        <v>74</v>
      </c>
      <c r="BE466" t="s">
        <v>6462</v>
      </c>
      <c r="BF466" t="str">
        <f>HYPERLINK("http://dx.doi.org/10.2307/1552386","http://dx.doi.org/10.2307/1552386")</f>
        <v>http://dx.doi.org/10.2307/1552386</v>
      </c>
      <c r="BG466" t="s">
        <v>74</v>
      </c>
      <c r="BH466" t="s">
        <v>74</v>
      </c>
      <c r="BI466">
        <v>7</v>
      </c>
      <c r="BJ466" t="s">
        <v>6425</v>
      </c>
      <c r="BK466" t="s">
        <v>2763</v>
      </c>
      <c r="BL466" t="s">
        <v>1942</v>
      </c>
      <c r="BM466" t="s">
        <v>6426</v>
      </c>
      <c r="BN466" t="s">
        <v>74</v>
      </c>
      <c r="BO466" t="s">
        <v>74</v>
      </c>
      <c r="BP466" t="s">
        <v>74</v>
      </c>
      <c r="BQ466" t="s">
        <v>74</v>
      </c>
      <c r="BR466" t="s">
        <v>97</v>
      </c>
      <c r="BS466" t="s">
        <v>6463</v>
      </c>
      <c r="BT466" t="str">
        <f>HYPERLINK("https%3A%2F%2Fwww.webofscience.com%2Fwos%2Fwoscc%2Ffull-record%2FWOS:000165912100004","View Full Record in Web of Science")</f>
        <v>View Full Record in Web of Science</v>
      </c>
    </row>
    <row r="467" spans="1:72" x14ac:dyDescent="0.15">
      <c r="A467" t="s">
        <v>72</v>
      </c>
      <c r="B467" t="s">
        <v>6464</v>
      </c>
      <c r="C467" t="s">
        <v>74</v>
      </c>
      <c r="D467" t="s">
        <v>74</v>
      </c>
      <c r="E467" t="s">
        <v>74</v>
      </c>
      <c r="F467" t="s">
        <v>6464</v>
      </c>
      <c r="G467" t="s">
        <v>74</v>
      </c>
      <c r="H467" t="s">
        <v>74</v>
      </c>
      <c r="I467" t="s">
        <v>6465</v>
      </c>
      <c r="J467" t="s">
        <v>6415</v>
      </c>
      <c r="K467" t="s">
        <v>74</v>
      </c>
      <c r="L467" t="s">
        <v>74</v>
      </c>
      <c r="M467" t="s">
        <v>77</v>
      </c>
      <c r="N467" t="s">
        <v>576</v>
      </c>
      <c r="O467" t="s">
        <v>6430</v>
      </c>
      <c r="P467" t="s">
        <v>6431</v>
      </c>
      <c r="Q467" t="s">
        <v>6432</v>
      </c>
      <c r="R467" t="s">
        <v>74</v>
      </c>
      <c r="S467" t="s">
        <v>74</v>
      </c>
      <c r="T467" t="s">
        <v>74</v>
      </c>
      <c r="U467" t="s">
        <v>6466</v>
      </c>
      <c r="V467" t="s">
        <v>6467</v>
      </c>
      <c r="W467" t="s">
        <v>6468</v>
      </c>
      <c r="X467" t="s">
        <v>6469</v>
      </c>
      <c r="Y467" t="s">
        <v>6470</v>
      </c>
      <c r="Z467" t="s">
        <v>74</v>
      </c>
      <c r="AA467" t="s">
        <v>6471</v>
      </c>
      <c r="AB467" t="s">
        <v>6472</v>
      </c>
      <c r="AC467" t="s">
        <v>74</v>
      </c>
      <c r="AD467" t="s">
        <v>74</v>
      </c>
      <c r="AE467" t="s">
        <v>74</v>
      </c>
      <c r="AF467" t="s">
        <v>74</v>
      </c>
      <c r="AG467">
        <v>56</v>
      </c>
      <c r="AH467">
        <v>64</v>
      </c>
      <c r="AI467">
        <v>74</v>
      </c>
      <c r="AJ467">
        <v>0</v>
      </c>
      <c r="AK467">
        <v>20</v>
      </c>
      <c r="AL467" t="s">
        <v>6419</v>
      </c>
      <c r="AM467" t="s">
        <v>982</v>
      </c>
      <c r="AN467" t="s">
        <v>6420</v>
      </c>
      <c r="AO467" t="s">
        <v>6421</v>
      </c>
      <c r="AP467" t="s">
        <v>74</v>
      </c>
      <c r="AQ467" t="s">
        <v>74</v>
      </c>
      <c r="AR467" t="s">
        <v>6422</v>
      </c>
      <c r="AS467" t="s">
        <v>6423</v>
      </c>
      <c r="AT467" t="s">
        <v>6395</v>
      </c>
      <c r="AU467">
        <v>2000</v>
      </c>
      <c r="AV467">
        <v>32</v>
      </c>
      <c r="AW467">
        <v>4</v>
      </c>
      <c r="AX467" t="s">
        <v>74</v>
      </c>
      <c r="AY467" t="s">
        <v>74</v>
      </c>
      <c r="AZ467" t="s">
        <v>74</v>
      </c>
      <c r="BA467" t="s">
        <v>74</v>
      </c>
      <c r="BB467">
        <v>388</v>
      </c>
      <c r="BC467">
        <v>396</v>
      </c>
      <c r="BD467" t="s">
        <v>74</v>
      </c>
      <c r="BE467" t="s">
        <v>6473</v>
      </c>
      <c r="BF467" t="str">
        <f>HYPERLINK("http://dx.doi.org/10.2307/1552387","http://dx.doi.org/10.2307/1552387")</f>
        <v>http://dx.doi.org/10.2307/1552387</v>
      </c>
      <c r="BG467" t="s">
        <v>74</v>
      </c>
      <c r="BH467" t="s">
        <v>74</v>
      </c>
      <c r="BI467">
        <v>9</v>
      </c>
      <c r="BJ467" t="s">
        <v>6425</v>
      </c>
      <c r="BK467" t="s">
        <v>596</v>
      </c>
      <c r="BL467" t="s">
        <v>1942</v>
      </c>
      <c r="BM467" t="s">
        <v>6426</v>
      </c>
      <c r="BN467" t="s">
        <v>74</v>
      </c>
      <c r="BO467" t="s">
        <v>1755</v>
      </c>
      <c r="BP467" t="s">
        <v>74</v>
      </c>
      <c r="BQ467" t="s">
        <v>74</v>
      </c>
      <c r="BR467" t="s">
        <v>97</v>
      </c>
      <c r="BS467" t="s">
        <v>6474</v>
      </c>
      <c r="BT467" t="str">
        <f>HYPERLINK("https%3A%2F%2Fwww.webofscience.com%2Fwos%2Fwoscc%2Ffull-record%2FWOS:000165912100005","View Full Record in Web of Science")</f>
        <v>View Full Record in Web of Science</v>
      </c>
    </row>
    <row r="468" spans="1:72" x14ac:dyDescent="0.15">
      <c r="A468" t="s">
        <v>72</v>
      </c>
      <c r="B468" t="s">
        <v>6475</v>
      </c>
      <c r="C468" t="s">
        <v>74</v>
      </c>
      <c r="D468" t="s">
        <v>74</v>
      </c>
      <c r="E468" t="s">
        <v>74</v>
      </c>
      <c r="F468" t="s">
        <v>6475</v>
      </c>
      <c r="G468" t="s">
        <v>74</v>
      </c>
      <c r="H468" t="s">
        <v>74</v>
      </c>
      <c r="I468" t="s">
        <v>6476</v>
      </c>
      <c r="J468" t="s">
        <v>6415</v>
      </c>
      <c r="K468" t="s">
        <v>74</v>
      </c>
      <c r="L468" t="s">
        <v>74</v>
      </c>
      <c r="M468" t="s">
        <v>77</v>
      </c>
      <c r="N468" t="s">
        <v>576</v>
      </c>
      <c r="O468" t="s">
        <v>6430</v>
      </c>
      <c r="P468" t="s">
        <v>6431</v>
      </c>
      <c r="Q468" t="s">
        <v>6432</v>
      </c>
      <c r="R468" t="s">
        <v>74</v>
      </c>
      <c r="S468" t="s">
        <v>74</v>
      </c>
      <c r="T468" t="s">
        <v>74</v>
      </c>
      <c r="U468" t="s">
        <v>6477</v>
      </c>
      <c r="V468" t="s">
        <v>6478</v>
      </c>
      <c r="W468" t="s">
        <v>6479</v>
      </c>
      <c r="X468" t="s">
        <v>6480</v>
      </c>
      <c r="Y468" t="s">
        <v>6481</v>
      </c>
      <c r="Z468" t="s">
        <v>74</v>
      </c>
      <c r="AA468" t="s">
        <v>74</v>
      </c>
      <c r="AB468" t="s">
        <v>74</v>
      </c>
      <c r="AC468" t="s">
        <v>74</v>
      </c>
      <c r="AD468" t="s">
        <v>74</v>
      </c>
      <c r="AE468" t="s">
        <v>74</v>
      </c>
      <c r="AF468" t="s">
        <v>74</v>
      </c>
      <c r="AG468">
        <v>37</v>
      </c>
      <c r="AH468">
        <v>33</v>
      </c>
      <c r="AI468">
        <v>36</v>
      </c>
      <c r="AJ468">
        <v>0</v>
      </c>
      <c r="AK468">
        <v>28</v>
      </c>
      <c r="AL468" t="s">
        <v>6419</v>
      </c>
      <c r="AM468" t="s">
        <v>982</v>
      </c>
      <c r="AN468" t="s">
        <v>6420</v>
      </c>
      <c r="AO468" t="s">
        <v>6421</v>
      </c>
      <c r="AP468" t="s">
        <v>74</v>
      </c>
      <c r="AQ468" t="s">
        <v>74</v>
      </c>
      <c r="AR468" t="s">
        <v>6422</v>
      </c>
      <c r="AS468" t="s">
        <v>6423</v>
      </c>
      <c r="AT468" t="s">
        <v>6395</v>
      </c>
      <c r="AU468">
        <v>2000</v>
      </c>
      <c r="AV468">
        <v>32</v>
      </c>
      <c r="AW468">
        <v>4</v>
      </c>
      <c r="AX468" t="s">
        <v>74</v>
      </c>
      <c r="AY468" t="s">
        <v>74</v>
      </c>
      <c r="AZ468" t="s">
        <v>74</v>
      </c>
      <c r="BA468" t="s">
        <v>74</v>
      </c>
      <c r="BB468">
        <v>397</v>
      </c>
      <c r="BC468">
        <v>403</v>
      </c>
      <c r="BD468" t="s">
        <v>74</v>
      </c>
      <c r="BE468" t="s">
        <v>6482</v>
      </c>
      <c r="BF468" t="str">
        <f>HYPERLINK("http://dx.doi.org/10.2307/1552388","http://dx.doi.org/10.2307/1552388")</f>
        <v>http://dx.doi.org/10.2307/1552388</v>
      </c>
      <c r="BG468" t="s">
        <v>74</v>
      </c>
      <c r="BH468" t="s">
        <v>74</v>
      </c>
      <c r="BI468">
        <v>7</v>
      </c>
      <c r="BJ468" t="s">
        <v>6425</v>
      </c>
      <c r="BK468" t="s">
        <v>596</v>
      </c>
      <c r="BL468" t="s">
        <v>1942</v>
      </c>
      <c r="BM468" t="s">
        <v>6426</v>
      </c>
      <c r="BN468" t="s">
        <v>74</v>
      </c>
      <c r="BO468" t="s">
        <v>74</v>
      </c>
      <c r="BP468" t="s">
        <v>74</v>
      </c>
      <c r="BQ468" t="s">
        <v>74</v>
      </c>
      <c r="BR468" t="s">
        <v>97</v>
      </c>
      <c r="BS468" t="s">
        <v>6483</v>
      </c>
      <c r="BT468" t="str">
        <f>HYPERLINK("https%3A%2F%2Fwww.webofscience.com%2Fwos%2Fwoscc%2Ffull-record%2FWOS:000165912100006","View Full Record in Web of Science")</f>
        <v>View Full Record in Web of Science</v>
      </c>
    </row>
    <row r="469" spans="1:72" x14ac:dyDescent="0.15">
      <c r="A469" t="s">
        <v>72</v>
      </c>
      <c r="B469" t="s">
        <v>6484</v>
      </c>
      <c r="C469" t="s">
        <v>74</v>
      </c>
      <c r="D469" t="s">
        <v>74</v>
      </c>
      <c r="E469" t="s">
        <v>74</v>
      </c>
      <c r="F469" t="s">
        <v>6484</v>
      </c>
      <c r="G469" t="s">
        <v>74</v>
      </c>
      <c r="H469" t="s">
        <v>74</v>
      </c>
      <c r="I469" t="s">
        <v>6485</v>
      </c>
      <c r="J469" t="s">
        <v>6415</v>
      </c>
      <c r="K469" t="s">
        <v>74</v>
      </c>
      <c r="L469" t="s">
        <v>74</v>
      </c>
      <c r="M469" t="s">
        <v>77</v>
      </c>
      <c r="N469" t="s">
        <v>576</v>
      </c>
      <c r="O469" t="s">
        <v>6430</v>
      </c>
      <c r="P469" t="s">
        <v>6431</v>
      </c>
      <c r="Q469" t="s">
        <v>6432</v>
      </c>
      <c r="R469" t="s">
        <v>74</v>
      </c>
      <c r="S469" t="s">
        <v>74</v>
      </c>
      <c r="T469" t="s">
        <v>74</v>
      </c>
      <c r="U469" t="s">
        <v>6486</v>
      </c>
      <c r="V469" t="s">
        <v>6487</v>
      </c>
      <c r="W469" t="s">
        <v>6488</v>
      </c>
      <c r="X469" t="s">
        <v>6489</v>
      </c>
      <c r="Y469" t="s">
        <v>6490</v>
      </c>
      <c r="Z469" t="s">
        <v>74</v>
      </c>
      <c r="AA469" t="s">
        <v>6491</v>
      </c>
      <c r="AB469" t="s">
        <v>74</v>
      </c>
      <c r="AC469" t="s">
        <v>74</v>
      </c>
      <c r="AD469" t="s">
        <v>74</v>
      </c>
      <c r="AE469" t="s">
        <v>74</v>
      </c>
      <c r="AF469" t="s">
        <v>74</v>
      </c>
      <c r="AG469">
        <v>62</v>
      </c>
      <c r="AH469">
        <v>116</v>
      </c>
      <c r="AI469">
        <v>130</v>
      </c>
      <c r="AJ469">
        <v>4</v>
      </c>
      <c r="AK469">
        <v>95</v>
      </c>
      <c r="AL469" t="s">
        <v>6419</v>
      </c>
      <c r="AM469" t="s">
        <v>982</v>
      </c>
      <c r="AN469" t="s">
        <v>6420</v>
      </c>
      <c r="AO469" t="s">
        <v>6421</v>
      </c>
      <c r="AP469" t="s">
        <v>74</v>
      </c>
      <c r="AQ469" t="s">
        <v>74</v>
      </c>
      <c r="AR469" t="s">
        <v>6422</v>
      </c>
      <c r="AS469" t="s">
        <v>6423</v>
      </c>
      <c r="AT469" t="s">
        <v>6395</v>
      </c>
      <c r="AU469">
        <v>2000</v>
      </c>
      <c r="AV469">
        <v>32</v>
      </c>
      <c r="AW469">
        <v>4</v>
      </c>
      <c r="AX469" t="s">
        <v>74</v>
      </c>
      <c r="AY469" t="s">
        <v>74</v>
      </c>
      <c r="AZ469" t="s">
        <v>74</v>
      </c>
      <c r="BA469" t="s">
        <v>74</v>
      </c>
      <c r="BB469">
        <v>404</v>
      </c>
      <c r="BC469">
        <v>411</v>
      </c>
      <c r="BD469" t="s">
        <v>74</v>
      </c>
      <c r="BE469" t="s">
        <v>6492</v>
      </c>
      <c r="BF469" t="str">
        <f>HYPERLINK("http://dx.doi.org/10.2307/1552389","http://dx.doi.org/10.2307/1552389")</f>
        <v>http://dx.doi.org/10.2307/1552389</v>
      </c>
      <c r="BG469" t="s">
        <v>74</v>
      </c>
      <c r="BH469" t="s">
        <v>74</v>
      </c>
      <c r="BI469">
        <v>8</v>
      </c>
      <c r="BJ469" t="s">
        <v>6425</v>
      </c>
      <c r="BK469" t="s">
        <v>596</v>
      </c>
      <c r="BL469" t="s">
        <v>1942</v>
      </c>
      <c r="BM469" t="s">
        <v>6426</v>
      </c>
      <c r="BN469" t="s">
        <v>74</v>
      </c>
      <c r="BO469" t="s">
        <v>74</v>
      </c>
      <c r="BP469" t="s">
        <v>74</v>
      </c>
      <c r="BQ469" t="s">
        <v>74</v>
      </c>
      <c r="BR469" t="s">
        <v>97</v>
      </c>
      <c r="BS469" t="s">
        <v>6493</v>
      </c>
      <c r="BT469" t="str">
        <f>HYPERLINK("https%3A%2F%2Fwww.webofscience.com%2Fwos%2Fwoscc%2Ffull-record%2FWOS:000165912100007","View Full Record in Web of Science")</f>
        <v>View Full Record in Web of Science</v>
      </c>
    </row>
    <row r="470" spans="1:72" x14ac:dyDescent="0.15">
      <c r="A470" t="s">
        <v>72</v>
      </c>
      <c r="B470" t="s">
        <v>6494</v>
      </c>
      <c r="C470" t="s">
        <v>74</v>
      </c>
      <c r="D470" t="s">
        <v>74</v>
      </c>
      <c r="E470" t="s">
        <v>74</v>
      </c>
      <c r="F470" t="s">
        <v>6494</v>
      </c>
      <c r="G470" t="s">
        <v>74</v>
      </c>
      <c r="H470" t="s">
        <v>74</v>
      </c>
      <c r="I470" t="s">
        <v>6495</v>
      </c>
      <c r="J470" t="s">
        <v>6415</v>
      </c>
      <c r="K470" t="s">
        <v>74</v>
      </c>
      <c r="L470" t="s">
        <v>74</v>
      </c>
      <c r="M470" t="s">
        <v>77</v>
      </c>
      <c r="N470" t="s">
        <v>78</v>
      </c>
      <c r="O470" t="s">
        <v>74</v>
      </c>
      <c r="P470" t="s">
        <v>74</v>
      </c>
      <c r="Q470" t="s">
        <v>74</v>
      </c>
      <c r="R470" t="s">
        <v>74</v>
      </c>
      <c r="S470" t="s">
        <v>74</v>
      </c>
      <c r="T470" t="s">
        <v>74</v>
      </c>
      <c r="U470" t="s">
        <v>6496</v>
      </c>
      <c r="V470" t="s">
        <v>6497</v>
      </c>
      <c r="W470" t="s">
        <v>6498</v>
      </c>
      <c r="X470" t="s">
        <v>6499</v>
      </c>
      <c r="Y470" t="s">
        <v>6500</v>
      </c>
      <c r="Z470" t="s">
        <v>6501</v>
      </c>
      <c r="AA470" t="s">
        <v>74</v>
      </c>
      <c r="AB470" t="s">
        <v>74</v>
      </c>
      <c r="AC470" t="s">
        <v>74</v>
      </c>
      <c r="AD470" t="s">
        <v>74</v>
      </c>
      <c r="AE470" t="s">
        <v>74</v>
      </c>
      <c r="AF470" t="s">
        <v>74</v>
      </c>
      <c r="AG470">
        <v>45</v>
      </c>
      <c r="AH470">
        <v>23</v>
      </c>
      <c r="AI470">
        <v>28</v>
      </c>
      <c r="AJ470">
        <v>1</v>
      </c>
      <c r="AK470">
        <v>16</v>
      </c>
      <c r="AL470" t="s">
        <v>6419</v>
      </c>
      <c r="AM470" t="s">
        <v>982</v>
      </c>
      <c r="AN470" t="s">
        <v>6420</v>
      </c>
      <c r="AO470" t="s">
        <v>6421</v>
      </c>
      <c r="AP470" t="s">
        <v>74</v>
      </c>
      <c r="AQ470" t="s">
        <v>74</v>
      </c>
      <c r="AR470" t="s">
        <v>6422</v>
      </c>
      <c r="AS470" t="s">
        <v>6423</v>
      </c>
      <c r="AT470" t="s">
        <v>6395</v>
      </c>
      <c r="AU470">
        <v>2000</v>
      </c>
      <c r="AV470">
        <v>32</v>
      </c>
      <c r="AW470">
        <v>4</v>
      </c>
      <c r="AX470" t="s">
        <v>74</v>
      </c>
      <c r="AY470" t="s">
        <v>74</v>
      </c>
      <c r="AZ470" t="s">
        <v>74</v>
      </c>
      <c r="BA470" t="s">
        <v>74</v>
      </c>
      <c r="BB470">
        <v>412</v>
      </c>
      <c r="BC470">
        <v>418</v>
      </c>
      <c r="BD470" t="s">
        <v>74</v>
      </c>
      <c r="BE470" t="s">
        <v>6502</v>
      </c>
      <c r="BF470" t="str">
        <f>HYPERLINK("http://dx.doi.org/10.2307/1552390","http://dx.doi.org/10.2307/1552390")</f>
        <v>http://dx.doi.org/10.2307/1552390</v>
      </c>
      <c r="BG470" t="s">
        <v>74</v>
      </c>
      <c r="BH470" t="s">
        <v>74</v>
      </c>
      <c r="BI470">
        <v>7</v>
      </c>
      <c r="BJ470" t="s">
        <v>6425</v>
      </c>
      <c r="BK470" t="s">
        <v>94</v>
      </c>
      <c r="BL470" t="s">
        <v>1942</v>
      </c>
      <c r="BM470" t="s">
        <v>6426</v>
      </c>
      <c r="BN470" t="s">
        <v>74</v>
      </c>
      <c r="BO470" t="s">
        <v>1755</v>
      </c>
      <c r="BP470" t="s">
        <v>74</v>
      </c>
      <c r="BQ470" t="s">
        <v>74</v>
      </c>
      <c r="BR470" t="s">
        <v>97</v>
      </c>
      <c r="BS470" t="s">
        <v>6503</v>
      </c>
      <c r="BT470" t="str">
        <f>HYPERLINK("https%3A%2F%2Fwww.webofscience.com%2Fwos%2Fwoscc%2Ffull-record%2FWOS:000165912100008","View Full Record in Web of Science")</f>
        <v>View Full Record in Web of Science</v>
      </c>
    </row>
    <row r="471" spans="1:72" x14ac:dyDescent="0.15">
      <c r="A471" t="s">
        <v>72</v>
      </c>
      <c r="B471" t="s">
        <v>6504</v>
      </c>
      <c r="C471" t="s">
        <v>74</v>
      </c>
      <c r="D471" t="s">
        <v>74</v>
      </c>
      <c r="E471" t="s">
        <v>74</v>
      </c>
      <c r="F471" t="s">
        <v>6504</v>
      </c>
      <c r="G471" t="s">
        <v>74</v>
      </c>
      <c r="H471" t="s">
        <v>74</v>
      </c>
      <c r="I471" t="s">
        <v>6505</v>
      </c>
      <c r="J471" t="s">
        <v>6415</v>
      </c>
      <c r="K471" t="s">
        <v>74</v>
      </c>
      <c r="L471" t="s">
        <v>74</v>
      </c>
      <c r="M471" t="s">
        <v>77</v>
      </c>
      <c r="N471" t="s">
        <v>78</v>
      </c>
      <c r="O471" t="s">
        <v>74</v>
      </c>
      <c r="P471" t="s">
        <v>74</v>
      </c>
      <c r="Q471" t="s">
        <v>74</v>
      </c>
      <c r="R471" t="s">
        <v>74</v>
      </c>
      <c r="S471" t="s">
        <v>74</v>
      </c>
      <c r="T471" t="s">
        <v>74</v>
      </c>
      <c r="U471" t="s">
        <v>6506</v>
      </c>
      <c r="V471" t="s">
        <v>6507</v>
      </c>
      <c r="W471" t="s">
        <v>6508</v>
      </c>
      <c r="X471" t="s">
        <v>6509</v>
      </c>
      <c r="Y471" t="s">
        <v>6510</v>
      </c>
      <c r="Z471" t="s">
        <v>74</v>
      </c>
      <c r="AA471" t="s">
        <v>74</v>
      </c>
      <c r="AB471" t="s">
        <v>74</v>
      </c>
      <c r="AC471" t="s">
        <v>74</v>
      </c>
      <c r="AD471" t="s">
        <v>74</v>
      </c>
      <c r="AE471" t="s">
        <v>74</v>
      </c>
      <c r="AF471" t="s">
        <v>74</v>
      </c>
      <c r="AG471">
        <v>88</v>
      </c>
      <c r="AH471">
        <v>71</v>
      </c>
      <c r="AI471">
        <v>72</v>
      </c>
      <c r="AJ471">
        <v>0</v>
      </c>
      <c r="AK471">
        <v>18</v>
      </c>
      <c r="AL471" t="s">
        <v>6419</v>
      </c>
      <c r="AM471" t="s">
        <v>982</v>
      </c>
      <c r="AN471" t="s">
        <v>6420</v>
      </c>
      <c r="AO471" t="s">
        <v>6421</v>
      </c>
      <c r="AP471" t="s">
        <v>74</v>
      </c>
      <c r="AQ471" t="s">
        <v>74</v>
      </c>
      <c r="AR471" t="s">
        <v>6422</v>
      </c>
      <c r="AS471" t="s">
        <v>6423</v>
      </c>
      <c r="AT471" t="s">
        <v>6395</v>
      </c>
      <c r="AU471">
        <v>2000</v>
      </c>
      <c r="AV471">
        <v>32</v>
      </c>
      <c r="AW471">
        <v>4</v>
      </c>
      <c r="AX471" t="s">
        <v>74</v>
      </c>
      <c r="AY471" t="s">
        <v>74</v>
      </c>
      <c r="AZ471" t="s">
        <v>74</v>
      </c>
      <c r="BA471" t="s">
        <v>74</v>
      </c>
      <c r="BB471">
        <v>419</v>
      </c>
      <c r="BC471">
        <v>428</v>
      </c>
      <c r="BD471" t="s">
        <v>74</v>
      </c>
      <c r="BE471" t="s">
        <v>6511</v>
      </c>
      <c r="BF471" t="str">
        <f>HYPERLINK("http://dx.doi.org/10.2307/1552391","http://dx.doi.org/10.2307/1552391")</f>
        <v>http://dx.doi.org/10.2307/1552391</v>
      </c>
      <c r="BG471" t="s">
        <v>74</v>
      </c>
      <c r="BH471" t="s">
        <v>74</v>
      </c>
      <c r="BI471">
        <v>10</v>
      </c>
      <c r="BJ471" t="s">
        <v>6425</v>
      </c>
      <c r="BK471" t="s">
        <v>94</v>
      </c>
      <c r="BL471" t="s">
        <v>1942</v>
      </c>
      <c r="BM471" t="s">
        <v>6426</v>
      </c>
      <c r="BN471" t="s">
        <v>74</v>
      </c>
      <c r="BO471" t="s">
        <v>74</v>
      </c>
      <c r="BP471" t="s">
        <v>74</v>
      </c>
      <c r="BQ471" t="s">
        <v>74</v>
      </c>
      <c r="BR471" t="s">
        <v>97</v>
      </c>
      <c r="BS471" t="s">
        <v>6512</v>
      </c>
      <c r="BT471" t="str">
        <f>HYPERLINK("https%3A%2F%2Fwww.webofscience.com%2Fwos%2Fwoscc%2Ffull-record%2FWOS:000165912100009","View Full Record in Web of Science")</f>
        <v>View Full Record in Web of Science</v>
      </c>
    </row>
    <row r="472" spans="1:72" x14ac:dyDescent="0.15">
      <c r="A472" t="s">
        <v>72</v>
      </c>
      <c r="B472" t="s">
        <v>6513</v>
      </c>
      <c r="C472" t="s">
        <v>74</v>
      </c>
      <c r="D472" t="s">
        <v>74</v>
      </c>
      <c r="E472" t="s">
        <v>74</v>
      </c>
      <c r="F472" t="s">
        <v>6513</v>
      </c>
      <c r="G472" t="s">
        <v>74</v>
      </c>
      <c r="H472" t="s">
        <v>74</v>
      </c>
      <c r="I472" t="s">
        <v>6514</v>
      </c>
      <c r="J472" t="s">
        <v>6415</v>
      </c>
      <c r="K472" t="s">
        <v>74</v>
      </c>
      <c r="L472" t="s">
        <v>74</v>
      </c>
      <c r="M472" t="s">
        <v>77</v>
      </c>
      <c r="N472" t="s">
        <v>78</v>
      </c>
      <c r="O472" t="s">
        <v>74</v>
      </c>
      <c r="P472" t="s">
        <v>74</v>
      </c>
      <c r="Q472" t="s">
        <v>74</v>
      </c>
      <c r="R472" t="s">
        <v>74</v>
      </c>
      <c r="S472" t="s">
        <v>74</v>
      </c>
      <c r="T472" t="s">
        <v>74</v>
      </c>
      <c r="U472" t="s">
        <v>6515</v>
      </c>
      <c r="V472" t="s">
        <v>6516</v>
      </c>
      <c r="W472" t="s">
        <v>6517</v>
      </c>
      <c r="X472" t="s">
        <v>6518</v>
      </c>
      <c r="Y472" t="s">
        <v>6519</v>
      </c>
      <c r="Z472" t="s">
        <v>6520</v>
      </c>
      <c r="AA472" t="s">
        <v>6521</v>
      </c>
      <c r="AB472" t="s">
        <v>6522</v>
      </c>
      <c r="AC472" t="s">
        <v>74</v>
      </c>
      <c r="AD472" t="s">
        <v>74</v>
      </c>
      <c r="AE472" t="s">
        <v>74</v>
      </c>
      <c r="AF472" t="s">
        <v>74</v>
      </c>
      <c r="AG472">
        <v>43</v>
      </c>
      <c r="AH472">
        <v>45</v>
      </c>
      <c r="AI472">
        <v>49</v>
      </c>
      <c r="AJ472">
        <v>1</v>
      </c>
      <c r="AK472">
        <v>13</v>
      </c>
      <c r="AL472" t="s">
        <v>1039</v>
      </c>
      <c r="AM472" t="s">
        <v>1040</v>
      </c>
      <c r="AN472" t="s">
        <v>1041</v>
      </c>
      <c r="AO472" t="s">
        <v>6421</v>
      </c>
      <c r="AP472" t="s">
        <v>6449</v>
      </c>
      <c r="AQ472" t="s">
        <v>74</v>
      </c>
      <c r="AR472" t="s">
        <v>6422</v>
      </c>
      <c r="AS472" t="s">
        <v>6423</v>
      </c>
      <c r="AT472" t="s">
        <v>6395</v>
      </c>
      <c r="AU472">
        <v>2000</v>
      </c>
      <c r="AV472">
        <v>32</v>
      </c>
      <c r="AW472">
        <v>4</v>
      </c>
      <c r="AX472" t="s">
        <v>74</v>
      </c>
      <c r="AY472" t="s">
        <v>74</v>
      </c>
      <c r="AZ472" t="s">
        <v>74</v>
      </c>
      <c r="BA472" t="s">
        <v>74</v>
      </c>
      <c r="BB472">
        <v>429</v>
      </c>
      <c r="BC472">
        <v>437</v>
      </c>
      <c r="BD472" t="s">
        <v>74</v>
      </c>
      <c r="BE472" t="s">
        <v>6523</v>
      </c>
      <c r="BF472" t="str">
        <f>HYPERLINK("http://dx.doi.org/10.2307/1552392","http://dx.doi.org/10.2307/1552392")</f>
        <v>http://dx.doi.org/10.2307/1552392</v>
      </c>
      <c r="BG472" t="s">
        <v>74</v>
      </c>
      <c r="BH472" t="s">
        <v>74</v>
      </c>
      <c r="BI472">
        <v>9</v>
      </c>
      <c r="BJ472" t="s">
        <v>6425</v>
      </c>
      <c r="BK472" t="s">
        <v>94</v>
      </c>
      <c r="BL472" t="s">
        <v>1942</v>
      </c>
      <c r="BM472" t="s">
        <v>6426</v>
      </c>
      <c r="BN472" t="s">
        <v>74</v>
      </c>
      <c r="BO472" t="s">
        <v>1755</v>
      </c>
      <c r="BP472" t="s">
        <v>74</v>
      </c>
      <c r="BQ472" t="s">
        <v>74</v>
      </c>
      <c r="BR472" t="s">
        <v>97</v>
      </c>
      <c r="BS472" t="s">
        <v>6524</v>
      </c>
      <c r="BT472" t="str">
        <f>HYPERLINK("https%3A%2F%2Fwww.webofscience.com%2Fwos%2Fwoscc%2Ffull-record%2FWOS:000165912100010","View Full Record in Web of Science")</f>
        <v>View Full Record in Web of Science</v>
      </c>
    </row>
    <row r="473" spans="1:72" x14ac:dyDescent="0.15">
      <c r="A473" t="s">
        <v>72</v>
      </c>
      <c r="B473" t="s">
        <v>6525</v>
      </c>
      <c r="C473" t="s">
        <v>74</v>
      </c>
      <c r="D473" t="s">
        <v>74</v>
      </c>
      <c r="E473" t="s">
        <v>74</v>
      </c>
      <c r="F473" t="s">
        <v>6525</v>
      </c>
      <c r="G473" t="s">
        <v>74</v>
      </c>
      <c r="H473" t="s">
        <v>74</v>
      </c>
      <c r="I473" t="s">
        <v>6526</v>
      </c>
      <c r="J473" t="s">
        <v>6415</v>
      </c>
      <c r="K473" t="s">
        <v>74</v>
      </c>
      <c r="L473" t="s">
        <v>74</v>
      </c>
      <c r="M473" t="s">
        <v>77</v>
      </c>
      <c r="N473" t="s">
        <v>78</v>
      </c>
      <c r="O473" t="s">
        <v>74</v>
      </c>
      <c r="P473" t="s">
        <v>74</v>
      </c>
      <c r="Q473" t="s">
        <v>74</v>
      </c>
      <c r="R473" t="s">
        <v>74</v>
      </c>
      <c r="S473" t="s">
        <v>74</v>
      </c>
      <c r="T473" t="s">
        <v>74</v>
      </c>
      <c r="U473" t="s">
        <v>6527</v>
      </c>
      <c r="V473" t="s">
        <v>6528</v>
      </c>
      <c r="W473" t="s">
        <v>6529</v>
      </c>
      <c r="X473" t="s">
        <v>6530</v>
      </c>
      <c r="Y473" t="s">
        <v>6531</v>
      </c>
      <c r="Z473" t="s">
        <v>74</v>
      </c>
      <c r="AA473" t="s">
        <v>74</v>
      </c>
      <c r="AB473" t="s">
        <v>74</v>
      </c>
      <c r="AC473" t="s">
        <v>74</v>
      </c>
      <c r="AD473" t="s">
        <v>74</v>
      </c>
      <c r="AE473" t="s">
        <v>74</v>
      </c>
      <c r="AF473" t="s">
        <v>74</v>
      </c>
      <c r="AG473">
        <v>76</v>
      </c>
      <c r="AH473">
        <v>11</v>
      </c>
      <c r="AI473">
        <v>14</v>
      </c>
      <c r="AJ473">
        <v>1</v>
      </c>
      <c r="AK473">
        <v>10</v>
      </c>
      <c r="AL473" t="s">
        <v>6419</v>
      </c>
      <c r="AM473" t="s">
        <v>982</v>
      </c>
      <c r="AN473" t="s">
        <v>6420</v>
      </c>
      <c r="AO473" t="s">
        <v>6421</v>
      </c>
      <c r="AP473" t="s">
        <v>74</v>
      </c>
      <c r="AQ473" t="s">
        <v>74</v>
      </c>
      <c r="AR473" t="s">
        <v>6422</v>
      </c>
      <c r="AS473" t="s">
        <v>6423</v>
      </c>
      <c r="AT473" t="s">
        <v>6395</v>
      </c>
      <c r="AU473">
        <v>2000</v>
      </c>
      <c r="AV473">
        <v>32</v>
      </c>
      <c r="AW473">
        <v>4</v>
      </c>
      <c r="AX473" t="s">
        <v>74</v>
      </c>
      <c r="AY473" t="s">
        <v>74</v>
      </c>
      <c r="AZ473" t="s">
        <v>74</v>
      </c>
      <c r="BA473" t="s">
        <v>74</v>
      </c>
      <c r="BB473">
        <v>438</v>
      </c>
      <c r="BC473">
        <v>448</v>
      </c>
      <c r="BD473" t="s">
        <v>74</v>
      </c>
      <c r="BE473" t="s">
        <v>6532</v>
      </c>
      <c r="BF473" t="str">
        <f>HYPERLINK("http://dx.doi.org/10.2307/1552393","http://dx.doi.org/10.2307/1552393")</f>
        <v>http://dx.doi.org/10.2307/1552393</v>
      </c>
      <c r="BG473" t="s">
        <v>74</v>
      </c>
      <c r="BH473" t="s">
        <v>74</v>
      </c>
      <c r="BI473">
        <v>11</v>
      </c>
      <c r="BJ473" t="s">
        <v>6425</v>
      </c>
      <c r="BK473" t="s">
        <v>94</v>
      </c>
      <c r="BL473" t="s">
        <v>1942</v>
      </c>
      <c r="BM473" t="s">
        <v>6426</v>
      </c>
      <c r="BN473" t="s">
        <v>74</v>
      </c>
      <c r="BO473" t="s">
        <v>1755</v>
      </c>
      <c r="BP473" t="s">
        <v>74</v>
      </c>
      <c r="BQ473" t="s">
        <v>74</v>
      </c>
      <c r="BR473" t="s">
        <v>97</v>
      </c>
      <c r="BS473" t="s">
        <v>6533</v>
      </c>
      <c r="BT473" t="str">
        <f>HYPERLINK("https%3A%2F%2Fwww.webofscience.com%2Fwos%2Fwoscc%2Ffull-record%2FWOS:000165912100011","View Full Record in Web of Science")</f>
        <v>View Full Record in Web of Science</v>
      </c>
    </row>
    <row r="474" spans="1:72" x14ac:dyDescent="0.15">
      <c r="A474" t="s">
        <v>72</v>
      </c>
      <c r="B474" t="s">
        <v>6534</v>
      </c>
      <c r="C474" t="s">
        <v>74</v>
      </c>
      <c r="D474" t="s">
        <v>74</v>
      </c>
      <c r="E474" t="s">
        <v>74</v>
      </c>
      <c r="F474" t="s">
        <v>6534</v>
      </c>
      <c r="G474" t="s">
        <v>74</v>
      </c>
      <c r="H474" t="s">
        <v>74</v>
      </c>
      <c r="I474" t="s">
        <v>6535</v>
      </c>
      <c r="J474" t="s">
        <v>6415</v>
      </c>
      <c r="K474" t="s">
        <v>74</v>
      </c>
      <c r="L474" t="s">
        <v>74</v>
      </c>
      <c r="M474" t="s">
        <v>77</v>
      </c>
      <c r="N474" t="s">
        <v>78</v>
      </c>
      <c r="O474" t="s">
        <v>74</v>
      </c>
      <c r="P474" t="s">
        <v>74</v>
      </c>
      <c r="Q474" t="s">
        <v>74</v>
      </c>
      <c r="R474" t="s">
        <v>74</v>
      </c>
      <c r="S474" t="s">
        <v>74</v>
      </c>
      <c r="T474" t="s">
        <v>74</v>
      </c>
      <c r="U474" t="s">
        <v>6536</v>
      </c>
      <c r="V474" t="s">
        <v>6537</v>
      </c>
      <c r="W474" t="s">
        <v>6538</v>
      </c>
      <c r="X474" t="s">
        <v>6539</v>
      </c>
      <c r="Y474" t="s">
        <v>6540</v>
      </c>
      <c r="Z474" t="s">
        <v>6541</v>
      </c>
      <c r="AA474" t="s">
        <v>6542</v>
      </c>
      <c r="AB474" t="s">
        <v>6543</v>
      </c>
      <c r="AC474" t="s">
        <v>74</v>
      </c>
      <c r="AD474" t="s">
        <v>74</v>
      </c>
      <c r="AE474" t="s">
        <v>74</v>
      </c>
      <c r="AF474" t="s">
        <v>74</v>
      </c>
      <c r="AG474">
        <v>53</v>
      </c>
      <c r="AH474">
        <v>10</v>
      </c>
      <c r="AI474">
        <v>11</v>
      </c>
      <c r="AJ474">
        <v>0</v>
      </c>
      <c r="AK474">
        <v>8</v>
      </c>
      <c r="AL474" t="s">
        <v>1039</v>
      </c>
      <c r="AM474" t="s">
        <v>1040</v>
      </c>
      <c r="AN474" t="s">
        <v>1041</v>
      </c>
      <c r="AO474" t="s">
        <v>6421</v>
      </c>
      <c r="AP474" t="s">
        <v>6449</v>
      </c>
      <c r="AQ474" t="s">
        <v>74</v>
      </c>
      <c r="AR474" t="s">
        <v>6422</v>
      </c>
      <c r="AS474" t="s">
        <v>6423</v>
      </c>
      <c r="AT474" t="s">
        <v>6395</v>
      </c>
      <c r="AU474">
        <v>2000</v>
      </c>
      <c r="AV474">
        <v>32</v>
      </c>
      <c r="AW474">
        <v>4</v>
      </c>
      <c r="AX474" t="s">
        <v>74</v>
      </c>
      <c r="AY474" t="s">
        <v>74</v>
      </c>
      <c r="AZ474" t="s">
        <v>74</v>
      </c>
      <c r="BA474" t="s">
        <v>74</v>
      </c>
      <c r="BB474">
        <v>449</v>
      </c>
      <c r="BC474">
        <v>455</v>
      </c>
      <c r="BD474" t="s">
        <v>74</v>
      </c>
      <c r="BE474" t="s">
        <v>6544</v>
      </c>
      <c r="BF474" t="str">
        <f>HYPERLINK("http://dx.doi.org/10.2307/1552394","http://dx.doi.org/10.2307/1552394")</f>
        <v>http://dx.doi.org/10.2307/1552394</v>
      </c>
      <c r="BG474" t="s">
        <v>74</v>
      </c>
      <c r="BH474" t="s">
        <v>74</v>
      </c>
      <c r="BI474">
        <v>7</v>
      </c>
      <c r="BJ474" t="s">
        <v>6425</v>
      </c>
      <c r="BK474" t="s">
        <v>94</v>
      </c>
      <c r="BL474" t="s">
        <v>1942</v>
      </c>
      <c r="BM474" t="s">
        <v>6426</v>
      </c>
      <c r="BN474" t="s">
        <v>74</v>
      </c>
      <c r="BO474" t="s">
        <v>1755</v>
      </c>
      <c r="BP474" t="s">
        <v>74</v>
      </c>
      <c r="BQ474" t="s">
        <v>74</v>
      </c>
      <c r="BR474" t="s">
        <v>97</v>
      </c>
      <c r="BS474" t="s">
        <v>6545</v>
      </c>
      <c r="BT474" t="str">
        <f>HYPERLINK("https%3A%2F%2Fwww.webofscience.com%2Fwos%2Fwoscc%2Ffull-record%2FWOS:000165912100012","View Full Record in Web of Science")</f>
        <v>View Full Record in Web of Science</v>
      </c>
    </row>
    <row r="475" spans="1:72" x14ac:dyDescent="0.15">
      <c r="A475" t="s">
        <v>72</v>
      </c>
      <c r="B475" t="s">
        <v>6546</v>
      </c>
      <c r="C475" t="s">
        <v>74</v>
      </c>
      <c r="D475" t="s">
        <v>74</v>
      </c>
      <c r="E475" t="s">
        <v>74</v>
      </c>
      <c r="F475" t="s">
        <v>6546</v>
      </c>
      <c r="G475" t="s">
        <v>74</v>
      </c>
      <c r="H475" t="s">
        <v>74</v>
      </c>
      <c r="I475" t="s">
        <v>6547</v>
      </c>
      <c r="J475" t="s">
        <v>6415</v>
      </c>
      <c r="K475" t="s">
        <v>74</v>
      </c>
      <c r="L475" t="s">
        <v>74</v>
      </c>
      <c r="M475" t="s">
        <v>77</v>
      </c>
      <c r="N475" t="s">
        <v>78</v>
      </c>
      <c r="O475" t="s">
        <v>74</v>
      </c>
      <c r="P475" t="s">
        <v>74</v>
      </c>
      <c r="Q475" t="s">
        <v>74</v>
      </c>
      <c r="R475" t="s">
        <v>74</v>
      </c>
      <c r="S475" t="s">
        <v>74</v>
      </c>
      <c r="T475" t="s">
        <v>74</v>
      </c>
      <c r="U475" t="s">
        <v>6548</v>
      </c>
      <c r="V475" t="s">
        <v>6549</v>
      </c>
      <c r="W475" t="s">
        <v>6550</v>
      </c>
      <c r="X475" t="s">
        <v>6551</v>
      </c>
      <c r="Y475" t="s">
        <v>6552</v>
      </c>
      <c r="Z475" t="s">
        <v>74</v>
      </c>
      <c r="AA475" t="s">
        <v>6553</v>
      </c>
      <c r="AB475" t="s">
        <v>6554</v>
      </c>
      <c r="AC475" t="s">
        <v>74</v>
      </c>
      <c r="AD475" t="s">
        <v>74</v>
      </c>
      <c r="AE475" t="s">
        <v>74</v>
      </c>
      <c r="AF475" t="s">
        <v>74</v>
      </c>
      <c r="AG475">
        <v>40</v>
      </c>
      <c r="AH475">
        <v>41</v>
      </c>
      <c r="AI475">
        <v>52</v>
      </c>
      <c r="AJ475">
        <v>0</v>
      </c>
      <c r="AK475">
        <v>8</v>
      </c>
      <c r="AL475" t="s">
        <v>6419</v>
      </c>
      <c r="AM475" t="s">
        <v>982</v>
      </c>
      <c r="AN475" t="s">
        <v>6420</v>
      </c>
      <c r="AO475" t="s">
        <v>6421</v>
      </c>
      <c r="AP475" t="s">
        <v>74</v>
      </c>
      <c r="AQ475" t="s">
        <v>74</v>
      </c>
      <c r="AR475" t="s">
        <v>6422</v>
      </c>
      <c r="AS475" t="s">
        <v>6423</v>
      </c>
      <c r="AT475" t="s">
        <v>6395</v>
      </c>
      <c r="AU475">
        <v>2000</v>
      </c>
      <c r="AV475">
        <v>32</v>
      </c>
      <c r="AW475">
        <v>4</v>
      </c>
      <c r="AX475" t="s">
        <v>74</v>
      </c>
      <c r="AY475" t="s">
        <v>74</v>
      </c>
      <c r="AZ475" t="s">
        <v>74</v>
      </c>
      <c r="BA475" t="s">
        <v>74</v>
      </c>
      <c r="BB475">
        <v>456</v>
      </c>
      <c r="BC475">
        <v>465</v>
      </c>
      <c r="BD475" t="s">
        <v>74</v>
      </c>
      <c r="BE475" t="s">
        <v>6555</v>
      </c>
      <c r="BF475" t="str">
        <f>HYPERLINK("http://dx.doi.org/10.2307/1552395","http://dx.doi.org/10.2307/1552395")</f>
        <v>http://dx.doi.org/10.2307/1552395</v>
      </c>
      <c r="BG475" t="s">
        <v>74</v>
      </c>
      <c r="BH475" t="s">
        <v>74</v>
      </c>
      <c r="BI475">
        <v>10</v>
      </c>
      <c r="BJ475" t="s">
        <v>6425</v>
      </c>
      <c r="BK475" t="s">
        <v>94</v>
      </c>
      <c r="BL475" t="s">
        <v>1942</v>
      </c>
      <c r="BM475" t="s">
        <v>6426</v>
      </c>
      <c r="BN475" t="s">
        <v>74</v>
      </c>
      <c r="BO475" t="s">
        <v>2097</v>
      </c>
      <c r="BP475" t="s">
        <v>74</v>
      </c>
      <c r="BQ475" t="s">
        <v>74</v>
      </c>
      <c r="BR475" t="s">
        <v>97</v>
      </c>
      <c r="BS475" t="s">
        <v>6556</v>
      </c>
      <c r="BT475" t="str">
        <f>HYPERLINK("https%3A%2F%2Fwww.webofscience.com%2Fwos%2Fwoscc%2Ffull-record%2FWOS:000165912100013","View Full Record in Web of Science")</f>
        <v>View Full Record in Web of Science</v>
      </c>
    </row>
    <row r="476" spans="1:72" x14ac:dyDescent="0.15">
      <c r="A476" t="s">
        <v>72</v>
      </c>
      <c r="B476" t="s">
        <v>6557</v>
      </c>
      <c r="C476" t="s">
        <v>74</v>
      </c>
      <c r="D476" t="s">
        <v>74</v>
      </c>
      <c r="E476" t="s">
        <v>74</v>
      </c>
      <c r="F476" t="s">
        <v>6557</v>
      </c>
      <c r="G476" t="s">
        <v>74</v>
      </c>
      <c r="H476" t="s">
        <v>74</v>
      </c>
      <c r="I476" t="s">
        <v>6558</v>
      </c>
      <c r="J476" t="s">
        <v>6415</v>
      </c>
      <c r="K476" t="s">
        <v>74</v>
      </c>
      <c r="L476" t="s">
        <v>74</v>
      </c>
      <c r="M476" t="s">
        <v>77</v>
      </c>
      <c r="N476" t="s">
        <v>78</v>
      </c>
      <c r="O476" t="s">
        <v>74</v>
      </c>
      <c r="P476" t="s">
        <v>74</v>
      </c>
      <c r="Q476" t="s">
        <v>74</v>
      </c>
      <c r="R476" t="s">
        <v>74</v>
      </c>
      <c r="S476" t="s">
        <v>74</v>
      </c>
      <c r="T476" t="s">
        <v>74</v>
      </c>
      <c r="U476" t="s">
        <v>6559</v>
      </c>
      <c r="V476" t="s">
        <v>6560</v>
      </c>
      <c r="W476" t="s">
        <v>6561</v>
      </c>
      <c r="X476" t="s">
        <v>6562</v>
      </c>
      <c r="Y476" t="s">
        <v>6563</v>
      </c>
      <c r="Z476" t="s">
        <v>6564</v>
      </c>
      <c r="AA476" t="s">
        <v>6565</v>
      </c>
      <c r="AB476" t="s">
        <v>6566</v>
      </c>
      <c r="AC476" t="s">
        <v>74</v>
      </c>
      <c r="AD476" t="s">
        <v>74</v>
      </c>
      <c r="AE476" t="s">
        <v>74</v>
      </c>
      <c r="AF476" t="s">
        <v>74</v>
      </c>
      <c r="AG476">
        <v>54</v>
      </c>
      <c r="AH476">
        <v>38</v>
      </c>
      <c r="AI476">
        <v>38</v>
      </c>
      <c r="AJ476">
        <v>0</v>
      </c>
      <c r="AK476">
        <v>4</v>
      </c>
      <c r="AL476" t="s">
        <v>6419</v>
      </c>
      <c r="AM476" t="s">
        <v>982</v>
      </c>
      <c r="AN476" t="s">
        <v>6420</v>
      </c>
      <c r="AO476" t="s">
        <v>6421</v>
      </c>
      <c r="AP476" t="s">
        <v>74</v>
      </c>
      <c r="AQ476" t="s">
        <v>74</v>
      </c>
      <c r="AR476" t="s">
        <v>6422</v>
      </c>
      <c r="AS476" t="s">
        <v>6423</v>
      </c>
      <c r="AT476" t="s">
        <v>6395</v>
      </c>
      <c r="AU476">
        <v>2000</v>
      </c>
      <c r="AV476">
        <v>32</v>
      </c>
      <c r="AW476">
        <v>4</v>
      </c>
      <c r="AX476" t="s">
        <v>74</v>
      </c>
      <c r="AY476" t="s">
        <v>74</v>
      </c>
      <c r="AZ476" t="s">
        <v>74</v>
      </c>
      <c r="BA476" t="s">
        <v>74</v>
      </c>
      <c r="BB476">
        <v>466</v>
      </c>
      <c r="BC476">
        <v>477</v>
      </c>
      <c r="BD476" t="s">
        <v>74</v>
      </c>
      <c r="BE476" t="s">
        <v>6567</v>
      </c>
      <c r="BF476" t="str">
        <f>HYPERLINK("http://dx.doi.org/10.2307/1552396","http://dx.doi.org/10.2307/1552396")</f>
        <v>http://dx.doi.org/10.2307/1552396</v>
      </c>
      <c r="BG476" t="s">
        <v>74</v>
      </c>
      <c r="BH476" t="s">
        <v>74</v>
      </c>
      <c r="BI476">
        <v>12</v>
      </c>
      <c r="BJ476" t="s">
        <v>6425</v>
      </c>
      <c r="BK476" t="s">
        <v>94</v>
      </c>
      <c r="BL476" t="s">
        <v>1942</v>
      </c>
      <c r="BM476" t="s">
        <v>6426</v>
      </c>
      <c r="BN476" t="s">
        <v>74</v>
      </c>
      <c r="BO476" t="s">
        <v>74</v>
      </c>
      <c r="BP476" t="s">
        <v>74</v>
      </c>
      <c r="BQ476" t="s">
        <v>74</v>
      </c>
      <c r="BR476" t="s">
        <v>97</v>
      </c>
      <c r="BS476" t="s">
        <v>6568</v>
      </c>
      <c r="BT476" t="str">
        <f>HYPERLINK("https%3A%2F%2Fwww.webofscience.com%2Fwos%2Fwoscc%2Ffull-record%2FWOS:000165912100014","View Full Record in Web of Science")</f>
        <v>View Full Record in Web of Science</v>
      </c>
    </row>
    <row r="477" spans="1:72" x14ac:dyDescent="0.15">
      <c r="A477" t="s">
        <v>72</v>
      </c>
      <c r="B477" t="s">
        <v>6569</v>
      </c>
      <c r="C477" t="s">
        <v>74</v>
      </c>
      <c r="D477" t="s">
        <v>74</v>
      </c>
      <c r="E477" t="s">
        <v>74</v>
      </c>
      <c r="F477" t="s">
        <v>6569</v>
      </c>
      <c r="G477" t="s">
        <v>74</v>
      </c>
      <c r="H477" t="s">
        <v>74</v>
      </c>
      <c r="I477" t="s">
        <v>6570</v>
      </c>
      <c r="J477" t="s">
        <v>6415</v>
      </c>
      <c r="K477" t="s">
        <v>74</v>
      </c>
      <c r="L477" t="s">
        <v>74</v>
      </c>
      <c r="M477" t="s">
        <v>77</v>
      </c>
      <c r="N477" t="s">
        <v>78</v>
      </c>
      <c r="O477" t="s">
        <v>74</v>
      </c>
      <c r="P477" t="s">
        <v>74</v>
      </c>
      <c r="Q477" t="s">
        <v>74</v>
      </c>
      <c r="R477" t="s">
        <v>74</v>
      </c>
      <c r="S477" t="s">
        <v>74</v>
      </c>
      <c r="T477" t="s">
        <v>74</v>
      </c>
      <c r="U477" t="s">
        <v>6571</v>
      </c>
      <c r="V477" t="s">
        <v>6572</v>
      </c>
      <c r="W477" t="s">
        <v>6573</v>
      </c>
      <c r="X477" t="s">
        <v>6574</v>
      </c>
      <c r="Y477" t="s">
        <v>6575</v>
      </c>
      <c r="Z477" t="s">
        <v>74</v>
      </c>
      <c r="AA477" t="s">
        <v>6576</v>
      </c>
      <c r="AB477" t="s">
        <v>6577</v>
      </c>
      <c r="AC477" t="s">
        <v>74</v>
      </c>
      <c r="AD477" t="s">
        <v>74</v>
      </c>
      <c r="AE477" t="s">
        <v>74</v>
      </c>
      <c r="AF477" t="s">
        <v>74</v>
      </c>
      <c r="AG477">
        <v>37</v>
      </c>
      <c r="AH477">
        <v>31</v>
      </c>
      <c r="AI477">
        <v>33</v>
      </c>
      <c r="AJ477">
        <v>0</v>
      </c>
      <c r="AK477">
        <v>1</v>
      </c>
      <c r="AL477" t="s">
        <v>6419</v>
      </c>
      <c r="AM477" t="s">
        <v>982</v>
      </c>
      <c r="AN477" t="s">
        <v>6420</v>
      </c>
      <c r="AO477" t="s">
        <v>6421</v>
      </c>
      <c r="AP477" t="s">
        <v>74</v>
      </c>
      <c r="AQ477" t="s">
        <v>74</v>
      </c>
      <c r="AR477" t="s">
        <v>6422</v>
      </c>
      <c r="AS477" t="s">
        <v>6423</v>
      </c>
      <c r="AT477" t="s">
        <v>6395</v>
      </c>
      <c r="AU477">
        <v>2000</v>
      </c>
      <c r="AV477">
        <v>32</v>
      </c>
      <c r="AW477">
        <v>4</v>
      </c>
      <c r="AX477" t="s">
        <v>74</v>
      </c>
      <c r="AY477" t="s">
        <v>74</v>
      </c>
      <c r="AZ477" t="s">
        <v>74</v>
      </c>
      <c r="BA477" t="s">
        <v>74</v>
      </c>
      <c r="BB477">
        <v>478</v>
      </c>
      <c r="BC477">
        <v>484</v>
      </c>
      <c r="BD477" t="s">
        <v>74</v>
      </c>
      <c r="BE477" t="s">
        <v>6578</v>
      </c>
      <c r="BF477" t="str">
        <f>HYPERLINK("http://dx.doi.org/10.2307/1552397","http://dx.doi.org/10.2307/1552397")</f>
        <v>http://dx.doi.org/10.2307/1552397</v>
      </c>
      <c r="BG477" t="s">
        <v>74</v>
      </c>
      <c r="BH477" t="s">
        <v>74</v>
      </c>
      <c r="BI477">
        <v>7</v>
      </c>
      <c r="BJ477" t="s">
        <v>6425</v>
      </c>
      <c r="BK477" t="s">
        <v>94</v>
      </c>
      <c r="BL477" t="s">
        <v>1942</v>
      </c>
      <c r="BM477" t="s">
        <v>6426</v>
      </c>
      <c r="BN477" t="s">
        <v>74</v>
      </c>
      <c r="BO477" t="s">
        <v>296</v>
      </c>
      <c r="BP477" t="s">
        <v>74</v>
      </c>
      <c r="BQ477" t="s">
        <v>74</v>
      </c>
      <c r="BR477" t="s">
        <v>97</v>
      </c>
      <c r="BS477" t="s">
        <v>6579</v>
      </c>
      <c r="BT477" t="str">
        <f>HYPERLINK("https%3A%2F%2Fwww.webofscience.com%2Fwos%2Fwoscc%2Ffull-record%2FWOS:000165912100015","View Full Record in Web of Science")</f>
        <v>View Full Record in Web of Science</v>
      </c>
    </row>
    <row r="478" spans="1:72" x14ac:dyDescent="0.15">
      <c r="A478" t="s">
        <v>72</v>
      </c>
      <c r="B478" t="s">
        <v>6580</v>
      </c>
      <c r="C478" t="s">
        <v>74</v>
      </c>
      <c r="D478" t="s">
        <v>74</v>
      </c>
      <c r="E478" t="s">
        <v>74</v>
      </c>
      <c r="F478" t="s">
        <v>6580</v>
      </c>
      <c r="G478" t="s">
        <v>74</v>
      </c>
      <c r="H478" t="s">
        <v>74</v>
      </c>
      <c r="I478" t="s">
        <v>6581</v>
      </c>
      <c r="J478" t="s">
        <v>6415</v>
      </c>
      <c r="K478" t="s">
        <v>74</v>
      </c>
      <c r="L478" t="s">
        <v>74</v>
      </c>
      <c r="M478" t="s">
        <v>77</v>
      </c>
      <c r="N478" t="s">
        <v>78</v>
      </c>
      <c r="O478" t="s">
        <v>74</v>
      </c>
      <c r="P478" t="s">
        <v>74</v>
      </c>
      <c r="Q478" t="s">
        <v>74</v>
      </c>
      <c r="R478" t="s">
        <v>74</v>
      </c>
      <c r="S478" t="s">
        <v>74</v>
      </c>
      <c r="T478" t="s">
        <v>74</v>
      </c>
      <c r="U478" t="s">
        <v>4461</v>
      </c>
      <c r="V478" t="s">
        <v>6582</v>
      </c>
      <c r="W478" t="s">
        <v>6583</v>
      </c>
      <c r="X478" t="s">
        <v>6584</v>
      </c>
      <c r="Y478" t="s">
        <v>6585</v>
      </c>
      <c r="Z478" t="s">
        <v>6586</v>
      </c>
      <c r="AA478" t="s">
        <v>74</v>
      </c>
      <c r="AB478" t="s">
        <v>74</v>
      </c>
      <c r="AC478" t="s">
        <v>74</v>
      </c>
      <c r="AD478" t="s">
        <v>74</v>
      </c>
      <c r="AE478" t="s">
        <v>74</v>
      </c>
      <c r="AF478" t="s">
        <v>74</v>
      </c>
      <c r="AG478">
        <v>30</v>
      </c>
      <c r="AH478">
        <v>43</v>
      </c>
      <c r="AI478">
        <v>49</v>
      </c>
      <c r="AJ478">
        <v>0</v>
      </c>
      <c r="AK478">
        <v>11</v>
      </c>
      <c r="AL478" t="s">
        <v>6419</v>
      </c>
      <c r="AM478" t="s">
        <v>982</v>
      </c>
      <c r="AN478" t="s">
        <v>6420</v>
      </c>
      <c r="AO478" t="s">
        <v>6421</v>
      </c>
      <c r="AP478" t="s">
        <v>6449</v>
      </c>
      <c r="AQ478" t="s">
        <v>74</v>
      </c>
      <c r="AR478" t="s">
        <v>6422</v>
      </c>
      <c r="AS478" t="s">
        <v>6423</v>
      </c>
      <c r="AT478" t="s">
        <v>6395</v>
      </c>
      <c r="AU478">
        <v>2000</v>
      </c>
      <c r="AV478">
        <v>32</v>
      </c>
      <c r="AW478">
        <v>4</v>
      </c>
      <c r="AX478" t="s">
        <v>74</v>
      </c>
      <c r="AY478" t="s">
        <v>74</v>
      </c>
      <c r="AZ478" t="s">
        <v>74</v>
      </c>
      <c r="BA478" t="s">
        <v>74</v>
      </c>
      <c r="BB478">
        <v>485</v>
      </c>
      <c r="BC478">
        <v>491</v>
      </c>
      <c r="BD478" t="s">
        <v>74</v>
      </c>
      <c r="BE478" t="s">
        <v>6587</v>
      </c>
      <c r="BF478" t="str">
        <f>HYPERLINK("http://dx.doi.org/10.2307/1552398","http://dx.doi.org/10.2307/1552398")</f>
        <v>http://dx.doi.org/10.2307/1552398</v>
      </c>
      <c r="BG478" t="s">
        <v>74</v>
      </c>
      <c r="BH478" t="s">
        <v>74</v>
      </c>
      <c r="BI478">
        <v>7</v>
      </c>
      <c r="BJ478" t="s">
        <v>6425</v>
      </c>
      <c r="BK478" t="s">
        <v>94</v>
      </c>
      <c r="BL478" t="s">
        <v>1942</v>
      </c>
      <c r="BM478" t="s">
        <v>6426</v>
      </c>
      <c r="BN478" t="s">
        <v>74</v>
      </c>
      <c r="BO478" t="s">
        <v>1755</v>
      </c>
      <c r="BP478" t="s">
        <v>74</v>
      </c>
      <c r="BQ478" t="s">
        <v>74</v>
      </c>
      <c r="BR478" t="s">
        <v>97</v>
      </c>
      <c r="BS478" t="s">
        <v>6588</v>
      </c>
      <c r="BT478" t="str">
        <f>HYPERLINK("https%3A%2F%2Fwww.webofscience.com%2Fwos%2Fwoscc%2Ffull-record%2FWOS:000165912100016","View Full Record in Web of Science")</f>
        <v>View Full Record in Web of Science</v>
      </c>
    </row>
    <row r="479" spans="1:72" x14ac:dyDescent="0.15">
      <c r="A479" t="s">
        <v>72</v>
      </c>
      <c r="B479" t="s">
        <v>6589</v>
      </c>
      <c r="C479" t="s">
        <v>74</v>
      </c>
      <c r="D479" t="s">
        <v>74</v>
      </c>
      <c r="E479" t="s">
        <v>74</v>
      </c>
      <c r="F479" t="s">
        <v>6589</v>
      </c>
      <c r="G479" t="s">
        <v>74</v>
      </c>
      <c r="H479" t="s">
        <v>74</v>
      </c>
      <c r="I479" t="s">
        <v>6590</v>
      </c>
      <c r="J479" t="s">
        <v>6415</v>
      </c>
      <c r="K479" t="s">
        <v>74</v>
      </c>
      <c r="L479" t="s">
        <v>74</v>
      </c>
      <c r="M479" t="s">
        <v>77</v>
      </c>
      <c r="N479" t="s">
        <v>6591</v>
      </c>
      <c r="O479" t="s">
        <v>74</v>
      </c>
      <c r="P479" t="s">
        <v>74</v>
      </c>
      <c r="Q479" t="s">
        <v>74</v>
      </c>
      <c r="R479" t="s">
        <v>74</v>
      </c>
      <c r="S479" t="s">
        <v>74</v>
      </c>
      <c r="T479" t="s">
        <v>74</v>
      </c>
      <c r="U479" t="s">
        <v>74</v>
      </c>
      <c r="V479" t="s">
        <v>74</v>
      </c>
      <c r="W479" t="s">
        <v>74</v>
      </c>
      <c r="X479" t="s">
        <v>74</v>
      </c>
      <c r="Y479" t="s">
        <v>74</v>
      </c>
      <c r="Z479" t="s">
        <v>74</v>
      </c>
      <c r="AA479" t="s">
        <v>74</v>
      </c>
      <c r="AB479" t="s">
        <v>74</v>
      </c>
      <c r="AC479" t="s">
        <v>74</v>
      </c>
      <c r="AD479" t="s">
        <v>74</v>
      </c>
      <c r="AE479" t="s">
        <v>74</v>
      </c>
      <c r="AF479" t="s">
        <v>74</v>
      </c>
      <c r="AG479">
        <v>1</v>
      </c>
      <c r="AH479">
        <v>0</v>
      </c>
      <c r="AI479">
        <v>0</v>
      </c>
      <c r="AJ479">
        <v>0</v>
      </c>
      <c r="AK479">
        <v>3</v>
      </c>
      <c r="AL479" t="s">
        <v>1039</v>
      </c>
      <c r="AM479" t="s">
        <v>1040</v>
      </c>
      <c r="AN479" t="s">
        <v>1041</v>
      </c>
      <c r="AO479" t="s">
        <v>6421</v>
      </c>
      <c r="AP479" t="s">
        <v>6449</v>
      </c>
      <c r="AQ479" t="s">
        <v>74</v>
      </c>
      <c r="AR479" t="s">
        <v>6422</v>
      </c>
      <c r="AS479" t="s">
        <v>6423</v>
      </c>
      <c r="AT479" t="s">
        <v>6395</v>
      </c>
      <c r="AU479">
        <v>2000</v>
      </c>
      <c r="AV479">
        <v>32</v>
      </c>
      <c r="AW479">
        <v>4</v>
      </c>
      <c r="AX479" t="s">
        <v>74</v>
      </c>
      <c r="AY479" t="s">
        <v>74</v>
      </c>
      <c r="AZ479" t="s">
        <v>74</v>
      </c>
      <c r="BA479" t="s">
        <v>74</v>
      </c>
      <c r="BB479">
        <v>494</v>
      </c>
      <c r="BC479">
        <v>495</v>
      </c>
      <c r="BD479" t="s">
        <v>74</v>
      </c>
      <c r="BE479" t="s">
        <v>74</v>
      </c>
      <c r="BF479" t="s">
        <v>74</v>
      </c>
      <c r="BG479" t="s">
        <v>74</v>
      </c>
      <c r="BH479" t="s">
        <v>74</v>
      </c>
      <c r="BI479">
        <v>2</v>
      </c>
      <c r="BJ479" t="s">
        <v>6425</v>
      </c>
      <c r="BK479" t="s">
        <v>94</v>
      </c>
      <c r="BL479" t="s">
        <v>1942</v>
      </c>
      <c r="BM479" t="s">
        <v>6426</v>
      </c>
      <c r="BN479" t="s">
        <v>74</v>
      </c>
      <c r="BO479" t="s">
        <v>74</v>
      </c>
      <c r="BP479" t="s">
        <v>74</v>
      </c>
      <c r="BQ479" t="s">
        <v>74</v>
      </c>
      <c r="BR479" t="s">
        <v>97</v>
      </c>
      <c r="BS479" t="s">
        <v>6592</v>
      </c>
      <c r="BT479" t="str">
        <f>HYPERLINK("https%3A%2F%2Fwww.webofscience.com%2Fwos%2Fwoscc%2Ffull-record%2FWOS:000165912100017","View Full Record in Web of Science")</f>
        <v>View Full Record in Web of Science</v>
      </c>
    </row>
    <row r="480" spans="1:72" x14ac:dyDescent="0.15">
      <c r="A480" t="s">
        <v>72</v>
      </c>
      <c r="B480" t="s">
        <v>6593</v>
      </c>
      <c r="C480" t="s">
        <v>74</v>
      </c>
      <c r="D480" t="s">
        <v>74</v>
      </c>
      <c r="E480" t="s">
        <v>74</v>
      </c>
      <c r="F480" t="s">
        <v>6593</v>
      </c>
      <c r="G480" t="s">
        <v>74</v>
      </c>
      <c r="H480" t="s">
        <v>74</v>
      </c>
      <c r="I480" t="s">
        <v>6594</v>
      </c>
      <c r="J480" t="s">
        <v>76</v>
      </c>
      <c r="K480" t="s">
        <v>74</v>
      </c>
      <c r="L480" t="s">
        <v>74</v>
      </c>
      <c r="M480" t="s">
        <v>77</v>
      </c>
      <c r="N480" t="s">
        <v>78</v>
      </c>
      <c r="O480" t="s">
        <v>74</v>
      </c>
      <c r="P480" t="s">
        <v>74</v>
      </c>
      <c r="Q480" t="s">
        <v>74</v>
      </c>
      <c r="R480" t="s">
        <v>74</v>
      </c>
      <c r="S480" t="s">
        <v>74</v>
      </c>
      <c r="T480" t="s">
        <v>6595</v>
      </c>
      <c r="U480" t="s">
        <v>6596</v>
      </c>
      <c r="V480" t="s">
        <v>6597</v>
      </c>
      <c r="W480" t="s">
        <v>6598</v>
      </c>
      <c r="X480" t="s">
        <v>6599</v>
      </c>
      <c r="Y480" t="s">
        <v>6600</v>
      </c>
      <c r="Z480" t="s">
        <v>74</v>
      </c>
      <c r="AA480" t="s">
        <v>6601</v>
      </c>
      <c r="AB480" t="s">
        <v>74</v>
      </c>
      <c r="AC480" t="s">
        <v>74</v>
      </c>
      <c r="AD480" t="s">
        <v>74</v>
      </c>
      <c r="AE480" t="s">
        <v>74</v>
      </c>
      <c r="AF480" t="s">
        <v>74</v>
      </c>
      <c r="AG480">
        <v>12</v>
      </c>
      <c r="AH480">
        <v>7</v>
      </c>
      <c r="AI480">
        <v>9</v>
      </c>
      <c r="AJ480">
        <v>0</v>
      </c>
      <c r="AK480">
        <v>6</v>
      </c>
      <c r="AL480" t="s">
        <v>85</v>
      </c>
      <c r="AM480" t="s">
        <v>86</v>
      </c>
      <c r="AN480" t="s">
        <v>87</v>
      </c>
      <c r="AO480" t="s">
        <v>88</v>
      </c>
      <c r="AP480" t="s">
        <v>74</v>
      </c>
      <c r="AQ480" t="s">
        <v>74</v>
      </c>
      <c r="AR480" t="s">
        <v>89</v>
      </c>
      <c r="AS480" t="s">
        <v>90</v>
      </c>
      <c r="AT480" t="s">
        <v>6395</v>
      </c>
      <c r="AU480">
        <v>2000</v>
      </c>
      <c r="AV480">
        <v>45</v>
      </c>
      <c r="AW480">
        <v>21</v>
      </c>
      <c r="AX480" t="s">
        <v>74</v>
      </c>
      <c r="AY480" t="s">
        <v>74</v>
      </c>
      <c r="AZ480" t="s">
        <v>74</v>
      </c>
      <c r="BA480" t="s">
        <v>74</v>
      </c>
      <c r="BB480">
        <v>2000</v>
      </c>
      <c r="BC480">
        <v>2004</v>
      </c>
      <c r="BD480" t="s">
        <v>74</v>
      </c>
      <c r="BE480" t="s">
        <v>6602</v>
      </c>
      <c r="BF480" t="str">
        <f>HYPERLINK("http://dx.doi.org/10.1007/BF02909696","http://dx.doi.org/10.1007/BF02909696")</f>
        <v>http://dx.doi.org/10.1007/BF02909696</v>
      </c>
      <c r="BG480" t="s">
        <v>74</v>
      </c>
      <c r="BH480" t="s">
        <v>74</v>
      </c>
      <c r="BI480">
        <v>5</v>
      </c>
      <c r="BJ480" t="s">
        <v>93</v>
      </c>
      <c r="BK480" t="s">
        <v>94</v>
      </c>
      <c r="BL480" t="s">
        <v>95</v>
      </c>
      <c r="BM480" t="s">
        <v>6603</v>
      </c>
      <c r="BN480" t="s">
        <v>74</v>
      </c>
      <c r="BO480" t="s">
        <v>74</v>
      </c>
      <c r="BP480" t="s">
        <v>74</v>
      </c>
      <c r="BQ480" t="s">
        <v>74</v>
      </c>
      <c r="BR480" t="s">
        <v>97</v>
      </c>
      <c r="BS480" t="s">
        <v>6604</v>
      </c>
      <c r="BT480" t="str">
        <f>HYPERLINK("https%3A%2F%2Fwww.webofscience.com%2Fwos%2Fwoscc%2Ffull-record%2FWOS:000165415400018","View Full Record in Web of Science")</f>
        <v>View Full Record in Web of Science</v>
      </c>
    </row>
    <row r="481" spans="1:72" x14ac:dyDescent="0.15">
      <c r="A481" t="s">
        <v>72</v>
      </c>
      <c r="B481" t="s">
        <v>6605</v>
      </c>
      <c r="C481" t="s">
        <v>74</v>
      </c>
      <c r="D481" t="s">
        <v>74</v>
      </c>
      <c r="E481" t="s">
        <v>74</v>
      </c>
      <c r="F481" t="s">
        <v>6605</v>
      </c>
      <c r="G481" t="s">
        <v>74</v>
      </c>
      <c r="H481" t="s">
        <v>74</v>
      </c>
      <c r="I481" t="s">
        <v>6606</v>
      </c>
      <c r="J481" t="s">
        <v>5266</v>
      </c>
      <c r="K481" t="s">
        <v>74</v>
      </c>
      <c r="L481" t="s">
        <v>74</v>
      </c>
      <c r="M481" t="s">
        <v>77</v>
      </c>
      <c r="N481" t="s">
        <v>78</v>
      </c>
      <c r="O481" t="s">
        <v>74</v>
      </c>
      <c r="P481" t="s">
        <v>74</v>
      </c>
      <c r="Q481" t="s">
        <v>74</v>
      </c>
      <c r="R481" t="s">
        <v>74</v>
      </c>
      <c r="S481" t="s">
        <v>74</v>
      </c>
      <c r="T481" t="s">
        <v>6607</v>
      </c>
      <c r="U481" t="s">
        <v>6608</v>
      </c>
      <c r="V481" t="s">
        <v>6609</v>
      </c>
      <c r="W481" t="s">
        <v>6610</v>
      </c>
      <c r="X481" t="s">
        <v>6611</v>
      </c>
      <c r="Y481" t="s">
        <v>6612</v>
      </c>
      <c r="Z481" t="s">
        <v>6613</v>
      </c>
      <c r="AA481" t="s">
        <v>74</v>
      </c>
      <c r="AB481" t="s">
        <v>6614</v>
      </c>
      <c r="AC481" t="s">
        <v>74</v>
      </c>
      <c r="AD481" t="s">
        <v>74</v>
      </c>
      <c r="AE481" t="s">
        <v>74</v>
      </c>
      <c r="AF481" t="s">
        <v>74</v>
      </c>
      <c r="AG481">
        <v>48</v>
      </c>
      <c r="AH481">
        <v>27</v>
      </c>
      <c r="AI481">
        <v>32</v>
      </c>
      <c r="AJ481">
        <v>1</v>
      </c>
      <c r="AK481">
        <v>16</v>
      </c>
      <c r="AL481" t="s">
        <v>4286</v>
      </c>
      <c r="AM481" t="s">
        <v>160</v>
      </c>
      <c r="AN481" t="s">
        <v>6615</v>
      </c>
      <c r="AO481" t="s">
        <v>5275</v>
      </c>
      <c r="AP481" t="s">
        <v>5276</v>
      </c>
      <c r="AQ481" t="s">
        <v>74</v>
      </c>
      <c r="AR481" t="s">
        <v>5277</v>
      </c>
      <c r="AS481" t="s">
        <v>5278</v>
      </c>
      <c r="AT481" t="s">
        <v>6395</v>
      </c>
      <c r="AU481">
        <v>2000</v>
      </c>
      <c r="AV481">
        <v>127</v>
      </c>
      <c r="AW481">
        <v>3</v>
      </c>
      <c r="AX481" t="s">
        <v>74</v>
      </c>
      <c r="AY481" t="s">
        <v>74</v>
      </c>
      <c r="AZ481" t="s">
        <v>74</v>
      </c>
      <c r="BA481" t="s">
        <v>74</v>
      </c>
      <c r="BB481">
        <v>325</v>
      </c>
      <c r="BC481">
        <v>335</v>
      </c>
      <c r="BD481" t="s">
        <v>74</v>
      </c>
      <c r="BE481" t="s">
        <v>6616</v>
      </c>
      <c r="BF481" t="str">
        <f>HYPERLINK("http://dx.doi.org/10.1016/S0305-0491(00)00268-6","http://dx.doi.org/10.1016/S0305-0491(00)00268-6")</f>
        <v>http://dx.doi.org/10.1016/S0305-0491(00)00268-6</v>
      </c>
      <c r="BG481" t="s">
        <v>74</v>
      </c>
      <c r="BH481" t="s">
        <v>74</v>
      </c>
      <c r="BI481">
        <v>11</v>
      </c>
      <c r="BJ481" t="s">
        <v>5280</v>
      </c>
      <c r="BK481" t="s">
        <v>94</v>
      </c>
      <c r="BL481" t="s">
        <v>5280</v>
      </c>
      <c r="BM481" t="s">
        <v>6617</v>
      </c>
      <c r="BN481">
        <v>11126763</v>
      </c>
      <c r="BO481" t="s">
        <v>74</v>
      </c>
      <c r="BP481" t="s">
        <v>74</v>
      </c>
      <c r="BQ481" t="s">
        <v>74</v>
      </c>
      <c r="BR481" t="s">
        <v>97</v>
      </c>
      <c r="BS481" t="s">
        <v>6618</v>
      </c>
      <c r="BT481" t="str">
        <f>HYPERLINK("https%3A%2F%2Fwww.webofscience.com%2Fwos%2Fwoscc%2Ffull-record%2FWOS:000165112000007","View Full Record in Web of Science")</f>
        <v>View Full Record in Web of Science</v>
      </c>
    </row>
    <row r="482" spans="1:72" x14ac:dyDescent="0.15">
      <c r="A482" t="s">
        <v>72</v>
      </c>
      <c r="B482" t="s">
        <v>6619</v>
      </c>
      <c r="C482" t="s">
        <v>74</v>
      </c>
      <c r="D482" t="s">
        <v>74</v>
      </c>
      <c r="E482" t="s">
        <v>74</v>
      </c>
      <c r="F482" t="s">
        <v>6619</v>
      </c>
      <c r="G482" t="s">
        <v>74</v>
      </c>
      <c r="H482" t="s">
        <v>74</v>
      </c>
      <c r="I482" t="s">
        <v>6620</v>
      </c>
      <c r="J482" t="s">
        <v>6621</v>
      </c>
      <c r="K482" t="s">
        <v>74</v>
      </c>
      <c r="L482" t="s">
        <v>74</v>
      </c>
      <c r="M482" t="s">
        <v>77</v>
      </c>
      <c r="N482" t="s">
        <v>78</v>
      </c>
      <c r="O482" t="s">
        <v>74</v>
      </c>
      <c r="P482" t="s">
        <v>74</v>
      </c>
      <c r="Q482" t="s">
        <v>74</v>
      </c>
      <c r="R482" t="s">
        <v>74</v>
      </c>
      <c r="S482" t="s">
        <v>74</v>
      </c>
      <c r="T482" t="s">
        <v>6622</v>
      </c>
      <c r="U482" t="s">
        <v>6623</v>
      </c>
      <c r="V482" t="s">
        <v>6624</v>
      </c>
      <c r="W482" t="s">
        <v>6625</v>
      </c>
      <c r="X482" t="s">
        <v>6626</v>
      </c>
      <c r="Y482" t="s">
        <v>6627</v>
      </c>
      <c r="Z482" t="s">
        <v>74</v>
      </c>
      <c r="AA482" t="s">
        <v>6628</v>
      </c>
      <c r="AB482" t="s">
        <v>6629</v>
      </c>
      <c r="AC482" t="s">
        <v>74</v>
      </c>
      <c r="AD482" t="s">
        <v>74</v>
      </c>
      <c r="AE482" t="s">
        <v>74</v>
      </c>
      <c r="AF482" t="s">
        <v>74</v>
      </c>
      <c r="AG482">
        <v>40</v>
      </c>
      <c r="AH482">
        <v>34</v>
      </c>
      <c r="AI482">
        <v>39</v>
      </c>
      <c r="AJ482">
        <v>0</v>
      </c>
      <c r="AK482">
        <v>14</v>
      </c>
      <c r="AL482" t="s">
        <v>6630</v>
      </c>
      <c r="AM482" t="s">
        <v>6631</v>
      </c>
      <c r="AN482" t="s">
        <v>6632</v>
      </c>
      <c r="AO482" t="s">
        <v>6633</v>
      </c>
      <c r="AP482" t="s">
        <v>6634</v>
      </c>
      <c r="AQ482" t="s">
        <v>74</v>
      </c>
      <c r="AR482" t="s">
        <v>6621</v>
      </c>
      <c r="AS482" t="s">
        <v>6635</v>
      </c>
      <c r="AT482" t="s">
        <v>6395</v>
      </c>
      <c r="AU482">
        <v>2000</v>
      </c>
      <c r="AV482">
        <v>102</v>
      </c>
      <c r="AW482">
        <v>4</v>
      </c>
      <c r="AX482" t="s">
        <v>74</v>
      </c>
      <c r="AY482" t="s">
        <v>74</v>
      </c>
      <c r="AZ482" t="s">
        <v>74</v>
      </c>
      <c r="BA482" t="s">
        <v>74</v>
      </c>
      <c r="BB482">
        <v>804</v>
      </c>
      <c r="BC482">
        <v>813</v>
      </c>
      <c r="BD482" t="s">
        <v>74</v>
      </c>
      <c r="BE482" t="s">
        <v>6636</v>
      </c>
      <c r="BF482" t="str">
        <f>HYPERLINK("http://dx.doi.org/10.1650/0010-5422(2000)102[0804:CSOPAC]2.0.CO;2","http://dx.doi.org/10.1650/0010-5422(2000)102[0804:CSOPAC]2.0.CO;2")</f>
        <v>http://dx.doi.org/10.1650/0010-5422(2000)102[0804:CSOPAC]2.0.CO;2</v>
      </c>
      <c r="BG482" t="s">
        <v>74</v>
      </c>
      <c r="BH482" t="s">
        <v>74</v>
      </c>
      <c r="BI482">
        <v>10</v>
      </c>
      <c r="BJ482" t="s">
        <v>675</v>
      </c>
      <c r="BK482" t="s">
        <v>94</v>
      </c>
      <c r="BL482" t="s">
        <v>206</v>
      </c>
      <c r="BM482" t="s">
        <v>6637</v>
      </c>
      <c r="BN482" t="s">
        <v>74</v>
      </c>
      <c r="BO482" t="s">
        <v>1755</v>
      </c>
      <c r="BP482" t="s">
        <v>74</v>
      </c>
      <c r="BQ482" t="s">
        <v>74</v>
      </c>
      <c r="BR482" t="s">
        <v>97</v>
      </c>
      <c r="BS482" t="s">
        <v>6638</v>
      </c>
      <c r="BT482" t="str">
        <f>HYPERLINK("https%3A%2F%2Fwww.webofscience.com%2Fwos%2Fwoscc%2Ffull-record%2FWOS:000165464400008","View Full Record in Web of Science")</f>
        <v>View Full Record in Web of Science</v>
      </c>
    </row>
    <row r="483" spans="1:72" x14ac:dyDescent="0.15">
      <c r="A483" t="s">
        <v>72</v>
      </c>
      <c r="B483" t="s">
        <v>6639</v>
      </c>
      <c r="C483" t="s">
        <v>74</v>
      </c>
      <c r="D483" t="s">
        <v>74</v>
      </c>
      <c r="E483" t="s">
        <v>74</v>
      </c>
      <c r="F483" t="s">
        <v>6639</v>
      </c>
      <c r="G483" t="s">
        <v>74</v>
      </c>
      <c r="H483" t="s">
        <v>74</v>
      </c>
      <c r="I483" t="s">
        <v>6640</v>
      </c>
      <c r="J483" t="s">
        <v>6641</v>
      </c>
      <c r="K483" t="s">
        <v>74</v>
      </c>
      <c r="L483" t="s">
        <v>74</v>
      </c>
      <c r="M483" t="s">
        <v>77</v>
      </c>
      <c r="N483" t="s">
        <v>576</v>
      </c>
      <c r="O483" t="s">
        <v>6642</v>
      </c>
      <c r="P483" t="s">
        <v>6643</v>
      </c>
      <c r="Q483" t="s">
        <v>1363</v>
      </c>
      <c r="R483" t="s">
        <v>74</v>
      </c>
      <c r="S483" t="s">
        <v>74</v>
      </c>
      <c r="T483" t="s">
        <v>6644</v>
      </c>
      <c r="U483" t="s">
        <v>6645</v>
      </c>
      <c r="V483" t="s">
        <v>6646</v>
      </c>
      <c r="W483" t="s">
        <v>885</v>
      </c>
      <c r="X483" t="s">
        <v>221</v>
      </c>
      <c r="Y483" t="s">
        <v>886</v>
      </c>
      <c r="Z483" t="s">
        <v>74</v>
      </c>
      <c r="AA483" t="s">
        <v>887</v>
      </c>
      <c r="AB483" t="s">
        <v>888</v>
      </c>
      <c r="AC483" t="s">
        <v>74</v>
      </c>
      <c r="AD483" t="s">
        <v>74</v>
      </c>
      <c r="AE483" t="s">
        <v>74</v>
      </c>
      <c r="AF483" t="s">
        <v>74</v>
      </c>
      <c r="AG483">
        <v>20</v>
      </c>
      <c r="AH483">
        <v>15</v>
      </c>
      <c r="AI483">
        <v>16</v>
      </c>
      <c r="AJ483">
        <v>0</v>
      </c>
      <c r="AK483">
        <v>10</v>
      </c>
      <c r="AL483" t="s">
        <v>6647</v>
      </c>
      <c r="AM483" t="s">
        <v>1208</v>
      </c>
      <c r="AN483" t="s">
        <v>6648</v>
      </c>
      <c r="AO483" t="s">
        <v>6649</v>
      </c>
      <c r="AP483" t="s">
        <v>74</v>
      </c>
      <c r="AQ483" t="s">
        <v>74</v>
      </c>
      <c r="AR483" t="s">
        <v>6650</v>
      </c>
      <c r="AS483" t="s">
        <v>6651</v>
      </c>
      <c r="AT483" t="s">
        <v>6652</v>
      </c>
      <c r="AU483">
        <v>2000</v>
      </c>
      <c r="AV483">
        <v>21</v>
      </c>
      <c r="AW483">
        <v>6</v>
      </c>
      <c r="AX483" t="s">
        <v>74</v>
      </c>
      <c r="AY483" t="s">
        <v>74</v>
      </c>
      <c r="AZ483" t="s">
        <v>74</v>
      </c>
      <c r="BA483" t="s">
        <v>74</v>
      </c>
      <c r="BB483">
        <v>327</v>
      </c>
      <c r="BC483">
        <v>332</v>
      </c>
      <c r="BD483" t="s">
        <v>74</v>
      </c>
      <c r="BE483" t="s">
        <v>74</v>
      </c>
      <c r="BF483" t="s">
        <v>74</v>
      </c>
      <c r="BG483" t="s">
        <v>74</v>
      </c>
      <c r="BH483" t="s">
        <v>74</v>
      </c>
      <c r="BI483">
        <v>6</v>
      </c>
      <c r="BJ483" t="s">
        <v>6653</v>
      </c>
      <c r="BK483" t="s">
        <v>596</v>
      </c>
      <c r="BL483" t="s">
        <v>6654</v>
      </c>
      <c r="BM483" t="s">
        <v>6655</v>
      </c>
      <c r="BN483">
        <v>12148024</v>
      </c>
      <c r="BO483" t="s">
        <v>74</v>
      </c>
      <c r="BP483" t="s">
        <v>74</v>
      </c>
      <c r="BQ483" t="s">
        <v>74</v>
      </c>
      <c r="BR483" t="s">
        <v>97</v>
      </c>
      <c r="BS483" t="s">
        <v>6656</v>
      </c>
      <c r="BT483" t="str">
        <f>HYPERLINK("https%3A%2F%2Fwww.webofscience.com%2Fwos%2Fwoscc%2Ffull-record%2FWOS:000166213900002","View Full Record in Web of Science")</f>
        <v>View Full Record in Web of Science</v>
      </c>
    </row>
    <row r="484" spans="1:72" x14ac:dyDescent="0.15">
      <c r="A484" t="s">
        <v>72</v>
      </c>
      <c r="B484" t="s">
        <v>6639</v>
      </c>
      <c r="C484" t="s">
        <v>74</v>
      </c>
      <c r="D484" t="s">
        <v>74</v>
      </c>
      <c r="E484" t="s">
        <v>74</v>
      </c>
      <c r="F484" t="s">
        <v>6639</v>
      </c>
      <c r="G484" t="s">
        <v>74</v>
      </c>
      <c r="H484" t="s">
        <v>74</v>
      </c>
      <c r="I484" t="s">
        <v>6657</v>
      </c>
      <c r="J484" t="s">
        <v>6641</v>
      </c>
      <c r="K484" t="s">
        <v>74</v>
      </c>
      <c r="L484" t="s">
        <v>74</v>
      </c>
      <c r="M484" t="s">
        <v>77</v>
      </c>
      <c r="N484" t="s">
        <v>576</v>
      </c>
      <c r="O484" t="s">
        <v>6642</v>
      </c>
      <c r="P484" t="s">
        <v>6643</v>
      </c>
      <c r="Q484" t="s">
        <v>1363</v>
      </c>
      <c r="R484" t="s">
        <v>74</v>
      </c>
      <c r="S484" t="s">
        <v>74</v>
      </c>
      <c r="T484" t="s">
        <v>6658</v>
      </c>
      <c r="U484" t="s">
        <v>6659</v>
      </c>
      <c r="V484" t="s">
        <v>6660</v>
      </c>
      <c r="W484" t="s">
        <v>885</v>
      </c>
      <c r="X484" t="s">
        <v>221</v>
      </c>
      <c r="Y484" t="s">
        <v>886</v>
      </c>
      <c r="Z484" t="s">
        <v>74</v>
      </c>
      <c r="AA484" t="s">
        <v>887</v>
      </c>
      <c r="AB484" t="s">
        <v>888</v>
      </c>
      <c r="AC484" t="s">
        <v>74</v>
      </c>
      <c r="AD484" t="s">
        <v>74</v>
      </c>
      <c r="AE484" t="s">
        <v>74</v>
      </c>
      <c r="AF484" t="s">
        <v>74</v>
      </c>
      <c r="AG484">
        <v>12</v>
      </c>
      <c r="AH484">
        <v>16</v>
      </c>
      <c r="AI484">
        <v>17</v>
      </c>
      <c r="AJ484">
        <v>0</v>
      </c>
      <c r="AK484">
        <v>7</v>
      </c>
      <c r="AL484" t="s">
        <v>6647</v>
      </c>
      <c r="AM484" t="s">
        <v>1208</v>
      </c>
      <c r="AN484" t="s">
        <v>6648</v>
      </c>
      <c r="AO484" t="s">
        <v>6649</v>
      </c>
      <c r="AP484" t="s">
        <v>74</v>
      </c>
      <c r="AQ484" t="s">
        <v>74</v>
      </c>
      <c r="AR484" t="s">
        <v>6650</v>
      </c>
      <c r="AS484" t="s">
        <v>6651</v>
      </c>
      <c r="AT484" t="s">
        <v>6652</v>
      </c>
      <c r="AU484">
        <v>2000</v>
      </c>
      <c r="AV484">
        <v>21</v>
      </c>
      <c r="AW484">
        <v>6</v>
      </c>
      <c r="AX484" t="s">
        <v>74</v>
      </c>
      <c r="AY484" t="s">
        <v>74</v>
      </c>
      <c r="AZ484" t="s">
        <v>74</v>
      </c>
      <c r="BA484" t="s">
        <v>74</v>
      </c>
      <c r="BB484">
        <v>333</v>
      </c>
      <c r="BC484">
        <v>338</v>
      </c>
      <c r="BD484" t="s">
        <v>74</v>
      </c>
      <c r="BE484" t="s">
        <v>74</v>
      </c>
      <c r="BF484" t="s">
        <v>74</v>
      </c>
      <c r="BG484" t="s">
        <v>74</v>
      </c>
      <c r="BH484" t="s">
        <v>74</v>
      </c>
      <c r="BI484">
        <v>6</v>
      </c>
      <c r="BJ484" t="s">
        <v>6653</v>
      </c>
      <c r="BK484" t="s">
        <v>596</v>
      </c>
      <c r="BL484" t="s">
        <v>6654</v>
      </c>
      <c r="BM484" t="s">
        <v>6655</v>
      </c>
      <c r="BN484">
        <v>12148025</v>
      </c>
      <c r="BO484" t="s">
        <v>74</v>
      </c>
      <c r="BP484" t="s">
        <v>74</v>
      </c>
      <c r="BQ484" t="s">
        <v>74</v>
      </c>
      <c r="BR484" t="s">
        <v>97</v>
      </c>
      <c r="BS484" t="s">
        <v>6661</v>
      </c>
      <c r="BT484" t="str">
        <f>HYPERLINK("https%3A%2F%2Fwww.webofscience.com%2Fwos%2Fwoscc%2Ffull-record%2FWOS:000166213900003","View Full Record in Web of Science")</f>
        <v>View Full Record in Web of Science</v>
      </c>
    </row>
    <row r="485" spans="1:72" x14ac:dyDescent="0.15">
      <c r="A485" t="s">
        <v>72</v>
      </c>
      <c r="B485" t="s">
        <v>6662</v>
      </c>
      <c r="C485" t="s">
        <v>74</v>
      </c>
      <c r="D485" t="s">
        <v>74</v>
      </c>
      <c r="E485" t="s">
        <v>74</v>
      </c>
      <c r="F485" t="s">
        <v>6662</v>
      </c>
      <c r="G485" t="s">
        <v>74</v>
      </c>
      <c r="H485" t="s">
        <v>74</v>
      </c>
      <c r="I485" t="s">
        <v>6663</v>
      </c>
      <c r="J485" t="s">
        <v>6664</v>
      </c>
      <c r="K485" t="s">
        <v>74</v>
      </c>
      <c r="L485" t="s">
        <v>74</v>
      </c>
      <c r="M485" t="s">
        <v>77</v>
      </c>
      <c r="N485" t="s">
        <v>78</v>
      </c>
      <c r="O485" t="s">
        <v>74</v>
      </c>
      <c r="P485" t="s">
        <v>74</v>
      </c>
      <c r="Q485" t="s">
        <v>74</v>
      </c>
      <c r="R485" t="s">
        <v>74</v>
      </c>
      <c r="S485" t="s">
        <v>74</v>
      </c>
      <c r="T485" t="s">
        <v>6665</v>
      </c>
      <c r="U485" t="s">
        <v>6666</v>
      </c>
      <c r="V485" t="s">
        <v>6667</v>
      </c>
      <c r="W485" t="s">
        <v>6668</v>
      </c>
      <c r="X485" t="s">
        <v>6669</v>
      </c>
      <c r="Y485" t="s">
        <v>6670</v>
      </c>
      <c r="Z485" t="s">
        <v>74</v>
      </c>
      <c r="AA485" t="s">
        <v>6671</v>
      </c>
      <c r="AB485" t="s">
        <v>6672</v>
      </c>
      <c r="AC485" t="s">
        <v>74</v>
      </c>
      <c r="AD485" t="s">
        <v>74</v>
      </c>
      <c r="AE485" t="s">
        <v>74</v>
      </c>
      <c r="AF485" t="s">
        <v>74</v>
      </c>
      <c r="AG485">
        <v>27</v>
      </c>
      <c r="AH485">
        <v>6</v>
      </c>
      <c r="AI485">
        <v>6</v>
      </c>
      <c r="AJ485">
        <v>0</v>
      </c>
      <c r="AK485">
        <v>1</v>
      </c>
      <c r="AL485" t="s">
        <v>6647</v>
      </c>
      <c r="AM485" t="s">
        <v>1208</v>
      </c>
      <c r="AN485" t="s">
        <v>6648</v>
      </c>
      <c r="AO485" t="s">
        <v>6649</v>
      </c>
      <c r="AP485" t="s">
        <v>6673</v>
      </c>
      <c r="AQ485" t="s">
        <v>74</v>
      </c>
      <c r="AR485" t="s">
        <v>6664</v>
      </c>
      <c r="AS485" t="s">
        <v>6674</v>
      </c>
      <c r="AT485" t="s">
        <v>6652</v>
      </c>
      <c r="AU485">
        <v>2000</v>
      </c>
      <c r="AV485">
        <v>21</v>
      </c>
      <c r="AW485">
        <v>6</v>
      </c>
      <c r="AX485" t="s">
        <v>74</v>
      </c>
      <c r="AY485" t="s">
        <v>74</v>
      </c>
      <c r="AZ485" t="s">
        <v>74</v>
      </c>
      <c r="BA485" t="s">
        <v>74</v>
      </c>
      <c r="BB485">
        <v>367</v>
      </c>
      <c r="BC485">
        <v>378</v>
      </c>
      <c r="BD485" t="s">
        <v>74</v>
      </c>
      <c r="BE485" t="s">
        <v>74</v>
      </c>
      <c r="BF485" t="s">
        <v>74</v>
      </c>
      <c r="BG485" t="s">
        <v>74</v>
      </c>
      <c r="BH485" t="s">
        <v>74</v>
      </c>
      <c r="BI485">
        <v>12</v>
      </c>
      <c r="BJ485" t="s">
        <v>6653</v>
      </c>
      <c r="BK485" t="s">
        <v>94</v>
      </c>
      <c r="BL485" t="s">
        <v>6654</v>
      </c>
      <c r="BM485" t="s">
        <v>6655</v>
      </c>
      <c r="BN485" t="s">
        <v>74</v>
      </c>
      <c r="BO485" t="s">
        <v>74</v>
      </c>
      <c r="BP485" t="s">
        <v>74</v>
      </c>
      <c r="BQ485" t="s">
        <v>74</v>
      </c>
      <c r="BR485" t="s">
        <v>97</v>
      </c>
      <c r="BS485" t="s">
        <v>6675</v>
      </c>
      <c r="BT485" t="str">
        <f>HYPERLINK("https%3A%2F%2Fwww.webofscience.com%2Fwos%2Fwoscc%2Ffull-record%2FWOS:000166213900007","View Full Record in Web of Science")</f>
        <v>View Full Record in Web of Science</v>
      </c>
    </row>
    <row r="486" spans="1:72" x14ac:dyDescent="0.15">
      <c r="A486" t="s">
        <v>72</v>
      </c>
      <c r="B486" t="s">
        <v>6676</v>
      </c>
      <c r="C486" t="s">
        <v>74</v>
      </c>
      <c r="D486" t="s">
        <v>74</v>
      </c>
      <c r="E486" t="s">
        <v>74</v>
      </c>
      <c r="F486" t="s">
        <v>6676</v>
      </c>
      <c r="G486" t="s">
        <v>74</v>
      </c>
      <c r="H486" t="s">
        <v>74</v>
      </c>
      <c r="I486" t="s">
        <v>6677</v>
      </c>
      <c r="J486" t="s">
        <v>235</v>
      </c>
      <c r="K486" t="s">
        <v>74</v>
      </c>
      <c r="L486" t="s">
        <v>74</v>
      </c>
      <c r="M486" t="s">
        <v>77</v>
      </c>
      <c r="N486" t="s">
        <v>78</v>
      </c>
      <c r="O486" t="s">
        <v>74</v>
      </c>
      <c r="P486" t="s">
        <v>74</v>
      </c>
      <c r="Q486" t="s">
        <v>74</v>
      </c>
      <c r="R486" t="s">
        <v>74</v>
      </c>
      <c r="S486" t="s">
        <v>74</v>
      </c>
      <c r="T486" t="s">
        <v>6678</v>
      </c>
      <c r="U486" t="s">
        <v>6679</v>
      </c>
      <c r="V486" t="s">
        <v>6680</v>
      </c>
      <c r="W486" t="s">
        <v>6681</v>
      </c>
      <c r="X486" t="s">
        <v>6682</v>
      </c>
      <c r="Y486" t="s">
        <v>6683</v>
      </c>
      <c r="Z486" t="s">
        <v>6684</v>
      </c>
      <c r="AA486" t="s">
        <v>74</v>
      </c>
      <c r="AB486" t="s">
        <v>74</v>
      </c>
      <c r="AC486" t="s">
        <v>74</v>
      </c>
      <c r="AD486" t="s">
        <v>74</v>
      </c>
      <c r="AE486" t="s">
        <v>74</v>
      </c>
      <c r="AF486" t="s">
        <v>74</v>
      </c>
      <c r="AG486">
        <v>34</v>
      </c>
      <c r="AH486">
        <v>21</v>
      </c>
      <c r="AI486">
        <v>24</v>
      </c>
      <c r="AJ486">
        <v>0</v>
      </c>
      <c r="AK486">
        <v>5</v>
      </c>
      <c r="AL486" t="s">
        <v>245</v>
      </c>
      <c r="AM486" t="s">
        <v>246</v>
      </c>
      <c r="AN486" t="s">
        <v>247</v>
      </c>
      <c r="AO486" t="s">
        <v>248</v>
      </c>
      <c r="AP486" t="s">
        <v>276</v>
      </c>
      <c r="AQ486" t="s">
        <v>74</v>
      </c>
      <c r="AR486" t="s">
        <v>249</v>
      </c>
      <c r="AS486" t="s">
        <v>250</v>
      </c>
      <c r="AT486" t="s">
        <v>6395</v>
      </c>
      <c r="AU486">
        <v>2000</v>
      </c>
      <c r="AV486">
        <v>47</v>
      </c>
      <c r="AW486">
        <v>11</v>
      </c>
      <c r="AX486" t="s">
        <v>74</v>
      </c>
      <c r="AY486" t="s">
        <v>74</v>
      </c>
      <c r="AZ486" t="s">
        <v>74</v>
      </c>
      <c r="BA486" t="s">
        <v>74</v>
      </c>
      <c r="BB486">
        <v>2009</v>
      </c>
      <c r="BC486">
        <v>2027</v>
      </c>
      <c r="BD486" t="s">
        <v>74</v>
      </c>
      <c r="BE486" t="s">
        <v>6685</v>
      </c>
      <c r="BF486" t="str">
        <f>HYPERLINK("http://dx.doi.org/10.1016/S0967-0637(00)00020-0","http://dx.doi.org/10.1016/S0967-0637(00)00020-0")</f>
        <v>http://dx.doi.org/10.1016/S0967-0637(00)00020-0</v>
      </c>
      <c r="BG486" t="s">
        <v>74</v>
      </c>
      <c r="BH486" t="s">
        <v>74</v>
      </c>
      <c r="BI486">
        <v>19</v>
      </c>
      <c r="BJ486" t="s">
        <v>252</v>
      </c>
      <c r="BK486" t="s">
        <v>94</v>
      </c>
      <c r="BL486" t="s">
        <v>252</v>
      </c>
      <c r="BM486" t="s">
        <v>6686</v>
      </c>
      <c r="BN486" t="s">
        <v>74</v>
      </c>
      <c r="BO486" t="s">
        <v>74</v>
      </c>
      <c r="BP486" t="s">
        <v>74</v>
      </c>
      <c r="BQ486" t="s">
        <v>74</v>
      </c>
      <c r="BR486" t="s">
        <v>97</v>
      </c>
      <c r="BS486" t="s">
        <v>6687</v>
      </c>
      <c r="BT486" t="str">
        <f>HYPERLINK("https%3A%2F%2Fwww.webofscience.com%2Fwos%2Fwoscc%2Ffull-record%2FWOS:000089062400001","View Full Record in Web of Science")</f>
        <v>View Full Record in Web of Science</v>
      </c>
    </row>
    <row r="487" spans="1:72" x14ac:dyDescent="0.15">
      <c r="A487" t="s">
        <v>72</v>
      </c>
      <c r="B487" t="s">
        <v>6688</v>
      </c>
      <c r="C487" t="s">
        <v>74</v>
      </c>
      <c r="D487" t="s">
        <v>74</v>
      </c>
      <c r="E487" t="s">
        <v>74</v>
      </c>
      <c r="F487" t="s">
        <v>6688</v>
      </c>
      <c r="G487" t="s">
        <v>74</v>
      </c>
      <c r="H487" t="s">
        <v>74</v>
      </c>
      <c r="I487" t="s">
        <v>6689</v>
      </c>
      <c r="J487" t="s">
        <v>6690</v>
      </c>
      <c r="K487" t="s">
        <v>74</v>
      </c>
      <c r="L487" t="s">
        <v>74</v>
      </c>
      <c r="M487" t="s">
        <v>77</v>
      </c>
      <c r="N487" t="s">
        <v>78</v>
      </c>
      <c r="O487" t="s">
        <v>74</v>
      </c>
      <c r="P487" t="s">
        <v>74</v>
      </c>
      <c r="Q487" t="s">
        <v>74</v>
      </c>
      <c r="R487" t="s">
        <v>74</v>
      </c>
      <c r="S487" t="s">
        <v>74</v>
      </c>
      <c r="T487" t="s">
        <v>6691</v>
      </c>
      <c r="U487" t="s">
        <v>6692</v>
      </c>
      <c r="V487" t="s">
        <v>6693</v>
      </c>
      <c r="W487" t="s">
        <v>6694</v>
      </c>
      <c r="X487" t="s">
        <v>6695</v>
      </c>
      <c r="Y487" t="s">
        <v>6696</v>
      </c>
      <c r="Z487" t="s">
        <v>74</v>
      </c>
      <c r="AA487" t="s">
        <v>74</v>
      </c>
      <c r="AB487" t="s">
        <v>74</v>
      </c>
      <c r="AC487" t="s">
        <v>74</v>
      </c>
      <c r="AD487" t="s">
        <v>74</v>
      </c>
      <c r="AE487" t="s">
        <v>74</v>
      </c>
      <c r="AF487" t="s">
        <v>74</v>
      </c>
      <c r="AG487">
        <v>27</v>
      </c>
      <c r="AH487">
        <v>16</v>
      </c>
      <c r="AI487">
        <v>17</v>
      </c>
      <c r="AJ487">
        <v>0</v>
      </c>
      <c r="AK487">
        <v>22</v>
      </c>
      <c r="AL487" t="s">
        <v>1120</v>
      </c>
      <c r="AM487" t="s">
        <v>1121</v>
      </c>
      <c r="AN487" t="s">
        <v>2394</v>
      </c>
      <c r="AO487" t="s">
        <v>6697</v>
      </c>
      <c r="AP487" t="s">
        <v>74</v>
      </c>
      <c r="AQ487" t="s">
        <v>74</v>
      </c>
      <c r="AR487" t="s">
        <v>6698</v>
      </c>
      <c r="AS487" t="s">
        <v>6699</v>
      </c>
      <c r="AT487" t="s">
        <v>6395</v>
      </c>
      <c r="AU487">
        <v>2000</v>
      </c>
      <c r="AV487">
        <v>16</v>
      </c>
      <c r="AW487">
        <v>2</v>
      </c>
      <c r="AX487" t="s">
        <v>74</v>
      </c>
      <c r="AY487" t="s">
        <v>74</v>
      </c>
      <c r="AZ487" t="s">
        <v>74</v>
      </c>
      <c r="BA487" t="s">
        <v>74</v>
      </c>
      <c r="BB487">
        <v>293</v>
      </c>
      <c r="BC487">
        <v>299</v>
      </c>
      <c r="BD487" t="s">
        <v>74</v>
      </c>
      <c r="BE487" t="s">
        <v>6700</v>
      </c>
      <c r="BF487" t="str">
        <f>HYPERLINK("http://dx.doi.org/10.1016/S0925-8574(99)00057-9","http://dx.doi.org/10.1016/S0925-8574(99)00057-9")</f>
        <v>http://dx.doi.org/10.1016/S0925-8574(99)00057-9</v>
      </c>
      <c r="BG487" t="s">
        <v>74</v>
      </c>
      <c r="BH487" t="s">
        <v>74</v>
      </c>
      <c r="BI487">
        <v>7</v>
      </c>
      <c r="BJ487" t="s">
        <v>6701</v>
      </c>
      <c r="BK487" t="s">
        <v>94</v>
      </c>
      <c r="BL487" t="s">
        <v>6702</v>
      </c>
      <c r="BM487" t="s">
        <v>6703</v>
      </c>
      <c r="BN487" t="s">
        <v>74</v>
      </c>
      <c r="BO487" t="s">
        <v>74</v>
      </c>
      <c r="BP487" t="s">
        <v>74</v>
      </c>
      <c r="BQ487" t="s">
        <v>74</v>
      </c>
      <c r="BR487" t="s">
        <v>97</v>
      </c>
      <c r="BS487" t="s">
        <v>6704</v>
      </c>
      <c r="BT487" t="str">
        <f>HYPERLINK("https%3A%2F%2Fwww.webofscience.com%2Fwos%2Fwoscc%2Ffull-record%2FWOS:000165060400008","View Full Record in Web of Science")</f>
        <v>View Full Record in Web of Science</v>
      </c>
    </row>
    <row r="488" spans="1:72" x14ac:dyDescent="0.15">
      <c r="A488" t="s">
        <v>72</v>
      </c>
      <c r="B488" t="s">
        <v>6705</v>
      </c>
      <c r="C488" t="s">
        <v>74</v>
      </c>
      <c r="D488" t="s">
        <v>74</v>
      </c>
      <c r="E488" t="s">
        <v>74</v>
      </c>
      <c r="F488" t="s">
        <v>6705</v>
      </c>
      <c r="G488" t="s">
        <v>74</v>
      </c>
      <c r="H488" t="s">
        <v>74</v>
      </c>
      <c r="I488" t="s">
        <v>6706</v>
      </c>
      <c r="J488" t="s">
        <v>6707</v>
      </c>
      <c r="K488" t="s">
        <v>74</v>
      </c>
      <c r="L488" t="s">
        <v>74</v>
      </c>
      <c r="M488" t="s">
        <v>77</v>
      </c>
      <c r="N488" t="s">
        <v>5419</v>
      </c>
      <c r="O488" t="s">
        <v>74</v>
      </c>
      <c r="P488" t="s">
        <v>74</v>
      </c>
      <c r="Q488" t="s">
        <v>74</v>
      </c>
      <c r="R488" t="s">
        <v>74</v>
      </c>
      <c r="S488" t="s">
        <v>74</v>
      </c>
      <c r="T488" t="s">
        <v>74</v>
      </c>
      <c r="U488" t="s">
        <v>74</v>
      </c>
      <c r="V488" t="s">
        <v>74</v>
      </c>
      <c r="W488" t="s">
        <v>6708</v>
      </c>
      <c r="X488" t="s">
        <v>6709</v>
      </c>
      <c r="Y488" t="s">
        <v>6710</v>
      </c>
      <c r="Z488" t="s">
        <v>74</v>
      </c>
      <c r="AA488" t="s">
        <v>74</v>
      </c>
      <c r="AB488" t="s">
        <v>74</v>
      </c>
      <c r="AC488" t="s">
        <v>74</v>
      </c>
      <c r="AD488" t="s">
        <v>74</v>
      </c>
      <c r="AE488" t="s">
        <v>74</v>
      </c>
      <c r="AF488" t="s">
        <v>74</v>
      </c>
      <c r="AG488">
        <v>1</v>
      </c>
      <c r="AH488">
        <v>0</v>
      </c>
      <c r="AI488">
        <v>0</v>
      </c>
      <c r="AJ488">
        <v>0</v>
      </c>
      <c r="AK488">
        <v>1</v>
      </c>
      <c r="AL488" t="s">
        <v>6711</v>
      </c>
      <c r="AM488" t="s">
        <v>246</v>
      </c>
      <c r="AN488" t="s">
        <v>6712</v>
      </c>
      <c r="AO488" t="s">
        <v>6713</v>
      </c>
      <c r="AP488" t="s">
        <v>74</v>
      </c>
      <c r="AQ488" t="s">
        <v>74</v>
      </c>
      <c r="AR488" t="s">
        <v>6714</v>
      </c>
      <c r="AS488" t="s">
        <v>6715</v>
      </c>
      <c r="AT488" t="s">
        <v>6395</v>
      </c>
      <c r="AU488">
        <v>2000</v>
      </c>
      <c r="AV488">
        <v>115</v>
      </c>
      <c r="AW488">
        <v>464</v>
      </c>
      <c r="AX488" t="s">
        <v>74</v>
      </c>
      <c r="AY488" t="s">
        <v>74</v>
      </c>
      <c r="AZ488" t="s">
        <v>74</v>
      </c>
      <c r="BA488" t="s">
        <v>74</v>
      </c>
      <c r="BB488">
        <v>1355</v>
      </c>
      <c r="BC488">
        <v>1356</v>
      </c>
      <c r="BD488" t="s">
        <v>74</v>
      </c>
      <c r="BE488" t="s">
        <v>6716</v>
      </c>
      <c r="BF488" t="str">
        <f>HYPERLINK("http://dx.doi.org/10.1093/ehr/115.464.1355","http://dx.doi.org/10.1093/ehr/115.464.1355")</f>
        <v>http://dx.doi.org/10.1093/ehr/115.464.1355</v>
      </c>
      <c r="BG488" t="s">
        <v>74</v>
      </c>
      <c r="BH488" t="s">
        <v>74</v>
      </c>
      <c r="BI488">
        <v>2</v>
      </c>
      <c r="BJ488" t="s">
        <v>5426</v>
      </c>
      <c r="BK488" t="s">
        <v>5427</v>
      </c>
      <c r="BL488" t="s">
        <v>5426</v>
      </c>
      <c r="BM488" t="s">
        <v>6717</v>
      </c>
      <c r="BN488" t="s">
        <v>74</v>
      </c>
      <c r="BO488" t="s">
        <v>74</v>
      </c>
      <c r="BP488" t="s">
        <v>74</v>
      </c>
      <c r="BQ488" t="s">
        <v>74</v>
      </c>
      <c r="BR488" t="s">
        <v>97</v>
      </c>
      <c r="BS488" t="s">
        <v>6718</v>
      </c>
      <c r="BT488" t="str">
        <f>HYPERLINK("https%3A%2F%2Fwww.webofscience.com%2Fwos%2Fwoscc%2Ffull-record%2FWOS:000165709700142","View Full Record in Web of Science")</f>
        <v>View Full Record in Web of Science</v>
      </c>
    </row>
    <row r="489" spans="1:72" x14ac:dyDescent="0.15">
      <c r="A489" t="s">
        <v>72</v>
      </c>
      <c r="B489" t="s">
        <v>689</v>
      </c>
      <c r="C489" t="s">
        <v>74</v>
      </c>
      <c r="D489" t="s">
        <v>74</v>
      </c>
      <c r="E489" t="s">
        <v>74</v>
      </c>
      <c r="F489" t="s">
        <v>689</v>
      </c>
      <c r="G489" t="s">
        <v>74</v>
      </c>
      <c r="H489" t="s">
        <v>74</v>
      </c>
      <c r="I489" t="s">
        <v>6719</v>
      </c>
      <c r="J489" t="s">
        <v>691</v>
      </c>
      <c r="K489" t="s">
        <v>74</v>
      </c>
      <c r="L489" t="s">
        <v>74</v>
      </c>
      <c r="M489" t="s">
        <v>77</v>
      </c>
      <c r="N489" t="s">
        <v>78</v>
      </c>
      <c r="O489" t="s">
        <v>74</v>
      </c>
      <c r="P489" t="s">
        <v>74</v>
      </c>
      <c r="Q489" t="s">
        <v>74</v>
      </c>
      <c r="R489" t="s">
        <v>74</v>
      </c>
      <c r="S489" t="s">
        <v>74</v>
      </c>
      <c r="T489" t="s">
        <v>74</v>
      </c>
      <c r="U489" t="s">
        <v>6720</v>
      </c>
      <c r="V489" t="s">
        <v>6721</v>
      </c>
      <c r="W489" t="s">
        <v>6722</v>
      </c>
      <c r="X489" t="s">
        <v>6723</v>
      </c>
      <c r="Y489" t="s">
        <v>74</v>
      </c>
      <c r="Z489" t="s">
        <v>74</v>
      </c>
      <c r="AA489" t="s">
        <v>696</v>
      </c>
      <c r="AB489" t="s">
        <v>697</v>
      </c>
      <c r="AC489" t="s">
        <v>74</v>
      </c>
      <c r="AD489" t="s">
        <v>74</v>
      </c>
      <c r="AE489" t="s">
        <v>74</v>
      </c>
      <c r="AF489" t="s">
        <v>74</v>
      </c>
      <c r="AG489">
        <v>46</v>
      </c>
      <c r="AH489">
        <v>22</v>
      </c>
      <c r="AI489">
        <v>24</v>
      </c>
      <c r="AJ489">
        <v>0</v>
      </c>
      <c r="AK489">
        <v>3</v>
      </c>
      <c r="AL489" t="s">
        <v>698</v>
      </c>
      <c r="AM489" t="s">
        <v>699</v>
      </c>
      <c r="AN489" t="s">
        <v>700</v>
      </c>
      <c r="AO489" t="s">
        <v>701</v>
      </c>
      <c r="AP489" t="s">
        <v>74</v>
      </c>
      <c r="AQ489" t="s">
        <v>74</v>
      </c>
      <c r="AR489" t="s">
        <v>702</v>
      </c>
      <c r="AS489" t="s">
        <v>703</v>
      </c>
      <c r="AT489" t="s">
        <v>6395</v>
      </c>
      <c r="AU489">
        <v>2000</v>
      </c>
      <c r="AV489">
        <v>32</v>
      </c>
      <c r="AW489">
        <v>6</v>
      </c>
      <c r="AX489" t="s">
        <v>74</v>
      </c>
      <c r="AY489" t="s">
        <v>74</v>
      </c>
      <c r="AZ489" t="s">
        <v>74</v>
      </c>
      <c r="BA489" t="s">
        <v>74</v>
      </c>
      <c r="BB489">
        <v>796</v>
      </c>
      <c r="BC489">
        <v>816</v>
      </c>
      <c r="BD489" t="s">
        <v>74</v>
      </c>
      <c r="BE489" t="s">
        <v>6724</v>
      </c>
      <c r="BF489" t="str">
        <f>HYPERLINK("http://dx.doi.org/10.1177/00139160021972801","http://dx.doi.org/10.1177/00139160021972801")</f>
        <v>http://dx.doi.org/10.1177/00139160021972801</v>
      </c>
      <c r="BG489" t="s">
        <v>74</v>
      </c>
      <c r="BH489" t="s">
        <v>74</v>
      </c>
      <c r="BI489">
        <v>21</v>
      </c>
      <c r="BJ489" t="s">
        <v>705</v>
      </c>
      <c r="BK489" t="s">
        <v>657</v>
      </c>
      <c r="BL489" t="s">
        <v>706</v>
      </c>
      <c r="BM489" t="s">
        <v>6725</v>
      </c>
      <c r="BN489" t="s">
        <v>74</v>
      </c>
      <c r="BO489" t="s">
        <v>74</v>
      </c>
      <c r="BP489" t="s">
        <v>74</v>
      </c>
      <c r="BQ489" t="s">
        <v>74</v>
      </c>
      <c r="BR489" t="s">
        <v>97</v>
      </c>
      <c r="BS489" t="s">
        <v>6726</v>
      </c>
      <c r="BT489" t="str">
        <f>HYPERLINK("https%3A%2F%2Fwww.webofscience.com%2Fwos%2Fwoscc%2Ffull-record%2FWOS:000089868300004","View Full Record in Web of Science")</f>
        <v>View Full Record in Web of Science</v>
      </c>
    </row>
    <row r="490" spans="1:72" x14ac:dyDescent="0.15">
      <c r="A490" t="s">
        <v>72</v>
      </c>
      <c r="B490" t="s">
        <v>6727</v>
      </c>
      <c r="C490" t="s">
        <v>74</v>
      </c>
      <c r="D490" t="s">
        <v>74</v>
      </c>
      <c r="E490" t="s">
        <v>74</v>
      </c>
      <c r="F490" t="s">
        <v>6727</v>
      </c>
      <c r="G490" t="s">
        <v>74</v>
      </c>
      <c r="H490" t="s">
        <v>74</v>
      </c>
      <c r="I490" t="s">
        <v>6728</v>
      </c>
      <c r="J490" t="s">
        <v>6729</v>
      </c>
      <c r="K490" t="s">
        <v>74</v>
      </c>
      <c r="L490" t="s">
        <v>74</v>
      </c>
      <c r="M490" t="s">
        <v>77</v>
      </c>
      <c r="N490" t="s">
        <v>78</v>
      </c>
      <c r="O490" t="s">
        <v>74</v>
      </c>
      <c r="P490" t="s">
        <v>74</v>
      </c>
      <c r="Q490" t="s">
        <v>74</v>
      </c>
      <c r="R490" t="s">
        <v>74</v>
      </c>
      <c r="S490" t="s">
        <v>74</v>
      </c>
      <c r="T490" t="s">
        <v>74</v>
      </c>
      <c r="U490" t="s">
        <v>6730</v>
      </c>
      <c r="V490" t="s">
        <v>6731</v>
      </c>
      <c r="W490" t="s">
        <v>6732</v>
      </c>
      <c r="X490" t="s">
        <v>6733</v>
      </c>
      <c r="Y490" t="s">
        <v>6734</v>
      </c>
      <c r="Z490" t="s">
        <v>74</v>
      </c>
      <c r="AA490" t="s">
        <v>74</v>
      </c>
      <c r="AB490" t="s">
        <v>6735</v>
      </c>
      <c r="AC490" t="s">
        <v>74</v>
      </c>
      <c r="AD490" t="s">
        <v>74</v>
      </c>
      <c r="AE490" t="s">
        <v>74</v>
      </c>
      <c r="AF490" t="s">
        <v>74</v>
      </c>
      <c r="AG490">
        <v>52</v>
      </c>
      <c r="AH490">
        <v>116</v>
      </c>
      <c r="AI490">
        <v>126</v>
      </c>
      <c r="AJ490">
        <v>0</v>
      </c>
      <c r="AK490">
        <v>33</v>
      </c>
      <c r="AL490" t="s">
        <v>245</v>
      </c>
      <c r="AM490" t="s">
        <v>246</v>
      </c>
      <c r="AN490" t="s">
        <v>247</v>
      </c>
      <c r="AO490" t="s">
        <v>6736</v>
      </c>
      <c r="AP490" t="s">
        <v>74</v>
      </c>
      <c r="AQ490" t="s">
        <v>74</v>
      </c>
      <c r="AR490" t="s">
        <v>6737</v>
      </c>
      <c r="AS490" t="s">
        <v>6738</v>
      </c>
      <c r="AT490" t="s">
        <v>6395</v>
      </c>
      <c r="AU490">
        <v>2000</v>
      </c>
      <c r="AV490">
        <v>64</v>
      </c>
      <c r="AW490">
        <v>22</v>
      </c>
      <c r="AX490" t="s">
        <v>74</v>
      </c>
      <c r="AY490" t="s">
        <v>74</v>
      </c>
      <c r="AZ490" t="s">
        <v>74</v>
      </c>
      <c r="BA490" t="s">
        <v>74</v>
      </c>
      <c r="BB490">
        <v>3813</v>
      </c>
      <c r="BC490">
        <v>3827</v>
      </c>
      <c r="BD490" t="s">
        <v>74</v>
      </c>
      <c r="BE490" t="s">
        <v>6739</v>
      </c>
      <c r="BF490" t="str">
        <f>HYPERLINK("http://dx.doi.org/10.1016/S0016-7037(00)00476-2","http://dx.doi.org/10.1016/S0016-7037(00)00476-2")</f>
        <v>http://dx.doi.org/10.1016/S0016-7037(00)00476-2</v>
      </c>
      <c r="BG490" t="s">
        <v>74</v>
      </c>
      <c r="BH490" t="s">
        <v>74</v>
      </c>
      <c r="BI490">
        <v>15</v>
      </c>
      <c r="BJ490" t="s">
        <v>953</v>
      </c>
      <c r="BK490" t="s">
        <v>94</v>
      </c>
      <c r="BL490" t="s">
        <v>953</v>
      </c>
      <c r="BM490" t="s">
        <v>6740</v>
      </c>
      <c r="BN490" t="s">
        <v>74</v>
      </c>
      <c r="BO490" t="s">
        <v>74</v>
      </c>
      <c r="BP490" t="s">
        <v>74</v>
      </c>
      <c r="BQ490" t="s">
        <v>74</v>
      </c>
      <c r="BR490" t="s">
        <v>97</v>
      </c>
      <c r="BS490" t="s">
        <v>6741</v>
      </c>
      <c r="BT490" t="str">
        <f>HYPERLINK("https%3A%2F%2Fwww.webofscience.com%2Fwos%2Fwoscc%2Ffull-record%2FWOS:000165222900004","View Full Record in Web of Science")</f>
        <v>View Full Record in Web of Science</v>
      </c>
    </row>
    <row r="491" spans="1:72" x14ac:dyDescent="0.15">
      <c r="A491" t="s">
        <v>72</v>
      </c>
      <c r="B491" t="s">
        <v>6742</v>
      </c>
      <c r="C491" t="s">
        <v>74</v>
      </c>
      <c r="D491" t="s">
        <v>74</v>
      </c>
      <c r="E491" t="s">
        <v>74</v>
      </c>
      <c r="F491" t="s">
        <v>6742</v>
      </c>
      <c r="G491" t="s">
        <v>74</v>
      </c>
      <c r="H491" t="s">
        <v>74</v>
      </c>
      <c r="I491" t="s">
        <v>6743</v>
      </c>
      <c r="J491" t="s">
        <v>975</v>
      </c>
      <c r="K491" t="s">
        <v>74</v>
      </c>
      <c r="L491" t="s">
        <v>74</v>
      </c>
      <c r="M491" t="s">
        <v>77</v>
      </c>
      <c r="N491" t="s">
        <v>78</v>
      </c>
      <c r="O491" t="s">
        <v>74</v>
      </c>
      <c r="P491" t="s">
        <v>74</v>
      </c>
      <c r="Q491" t="s">
        <v>74</v>
      </c>
      <c r="R491" t="s">
        <v>74</v>
      </c>
      <c r="S491" t="s">
        <v>74</v>
      </c>
      <c r="T491" t="s">
        <v>6744</v>
      </c>
      <c r="U491" t="s">
        <v>6745</v>
      </c>
      <c r="V491" t="s">
        <v>6746</v>
      </c>
      <c r="W491" t="s">
        <v>6747</v>
      </c>
      <c r="X491" t="s">
        <v>6748</v>
      </c>
      <c r="Y491" t="s">
        <v>6749</v>
      </c>
      <c r="Z491" t="s">
        <v>74</v>
      </c>
      <c r="AA491" t="s">
        <v>6750</v>
      </c>
      <c r="AB491" t="s">
        <v>6751</v>
      </c>
      <c r="AC491" t="s">
        <v>74</v>
      </c>
      <c r="AD491" t="s">
        <v>74</v>
      </c>
      <c r="AE491" t="s">
        <v>74</v>
      </c>
      <c r="AF491" t="s">
        <v>74</v>
      </c>
      <c r="AG491">
        <v>22</v>
      </c>
      <c r="AH491">
        <v>82</v>
      </c>
      <c r="AI491">
        <v>84</v>
      </c>
      <c r="AJ491">
        <v>0</v>
      </c>
      <c r="AK491">
        <v>6</v>
      </c>
      <c r="AL491" t="s">
        <v>981</v>
      </c>
      <c r="AM491" t="s">
        <v>982</v>
      </c>
      <c r="AN491" t="s">
        <v>983</v>
      </c>
      <c r="AO491" t="s">
        <v>984</v>
      </c>
      <c r="AP491" t="s">
        <v>74</v>
      </c>
      <c r="AQ491" t="s">
        <v>74</v>
      </c>
      <c r="AR491" t="s">
        <v>975</v>
      </c>
      <c r="AS491" t="s">
        <v>597</v>
      </c>
      <c r="AT491" t="s">
        <v>6395</v>
      </c>
      <c r="AU491">
        <v>2000</v>
      </c>
      <c r="AV491">
        <v>28</v>
      </c>
      <c r="AW491">
        <v>11</v>
      </c>
      <c r="AX491" t="s">
        <v>74</v>
      </c>
      <c r="AY491" t="s">
        <v>74</v>
      </c>
      <c r="AZ491" t="s">
        <v>74</v>
      </c>
      <c r="BA491" t="s">
        <v>74</v>
      </c>
      <c r="BB491">
        <v>1043</v>
      </c>
      <c r="BC491">
        <v>1046</v>
      </c>
      <c r="BD491" t="s">
        <v>74</v>
      </c>
      <c r="BE491" t="s">
        <v>6752</v>
      </c>
      <c r="BF491" t="str">
        <f>HYPERLINK("http://dx.doi.org/10.1130/0091-7613(2000)028&lt;1043:BBAPNA&gt;2.3.CO;2","http://dx.doi.org/10.1130/0091-7613(2000)028&lt;1043:BBAPNA&gt;2.3.CO;2")</f>
        <v>http://dx.doi.org/10.1130/0091-7613(2000)028&lt;1043:BBAPNA&gt;2.3.CO;2</v>
      </c>
      <c r="BG491" t="s">
        <v>74</v>
      </c>
      <c r="BH491" t="s">
        <v>74</v>
      </c>
      <c r="BI491">
        <v>4</v>
      </c>
      <c r="BJ491" t="s">
        <v>597</v>
      </c>
      <c r="BK491" t="s">
        <v>94</v>
      </c>
      <c r="BL491" t="s">
        <v>597</v>
      </c>
      <c r="BM491" t="s">
        <v>6753</v>
      </c>
      <c r="BN491" t="s">
        <v>74</v>
      </c>
      <c r="BO491" t="s">
        <v>74</v>
      </c>
      <c r="BP491" t="s">
        <v>74</v>
      </c>
      <c r="BQ491" t="s">
        <v>74</v>
      </c>
      <c r="BR491" t="s">
        <v>97</v>
      </c>
      <c r="BS491" t="s">
        <v>6754</v>
      </c>
      <c r="BT491" t="str">
        <f>HYPERLINK("https%3A%2F%2Fwww.webofscience.com%2Fwos%2Fwoscc%2Ffull-record%2FWOS:000165277900021","View Full Record in Web of Science")</f>
        <v>View Full Record in Web of Science</v>
      </c>
    </row>
    <row r="492" spans="1:72" x14ac:dyDescent="0.15">
      <c r="A492" t="s">
        <v>72</v>
      </c>
      <c r="B492" t="s">
        <v>6755</v>
      </c>
      <c r="C492" t="s">
        <v>74</v>
      </c>
      <c r="D492" t="s">
        <v>74</v>
      </c>
      <c r="E492" t="s">
        <v>74</v>
      </c>
      <c r="F492" t="s">
        <v>6755</v>
      </c>
      <c r="G492" t="s">
        <v>74</v>
      </c>
      <c r="H492" t="s">
        <v>74</v>
      </c>
      <c r="I492" t="s">
        <v>6756</v>
      </c>
      <c r="J492" t="s">
        <v>1001</v>
      </c>
      <c r="K492" t="s">
        <v>74</v>
      </c>
      <c r="L492" t="s">
        <v>74</v>
      </c>
      <c r="M492" t="s">
        <v>77</v>
      </c>
      <c r="N492" t="s">
        <v>78</v>
      </c>
      <c r="O492" t="s">
        <v>74</v>
      </c>
      <c r="P492" t="s">
        <v>74</v>
      </c>
      <c r="Q492" t="s">
        <v>74</v>
      </c>
      <c r="R492" t="s">
        <v>74</v>
      </c>
      <c r="S492" t="s">
        <v>74</v>
      </c>
      <c r="T492" t="s">
        <v>74</v>
      </c>
      <c r="U492" t="s">
        <v>6757</v>
      </c>
      <c r="V492" t="s">
        <v>6758</v>
      </c>
      <c r="W492" t="s">
        <v>6759</v>
      </c>
      <c r="X492" t="s">
        <v>2468</v>
      </c>
      <c r="Y492" t="s">
        <v>6760</v>
      </c>
      <c r="Z492" t="s">
        <v>74</v>
      </c>
      <c r="AA492" t="s">
        <v>74</v>
      </c>
      <c r="AB492" t="s">
        <v>74</v>
      </c>
      <c r="AC492" t="s">
        <v>74</v>
      </c>
      <c r="AD492" t="s">
        <v>74</v>
      </c>
      <c r="AE492" t="s">
        <v>74</v>
      </c>
      <c r="AF492" t="s">
        <v>74</v>
      </c>
      <c r="AG492">
        <v>10</v>
      </c>
      <c r="AH492">
        <v>2</v>
      </c>
      <c r="AI492">
        <v>2</v>
      </c>
      <c r="AJ492">
        <v>0</v>
      </c>
      <c r="AK492">
        <v>0</v>
      </c>
      <c r="AL492" t="s">
        <v>1025</v>
      </c>
      <c r="AM492" t="s">
        <v>1026</v>
      </c>
      <c r="AN492" t="s">
        <v>1027</v>
      </c>
      <c r="AO492" t="s">
        <v>1009</v>
      </c>
      <c r="AP492" t="s">
        <v>74</v>
      </c>
      <c r="AQ492" t="s">
        <v>74</v>
      </c>
      <c r="AR492" t="s">
        <v>1011</v>
      </c>
      <c r="AS492" t="s">
        <v>1012</v>
      </c>
      <c r="AT492" t="s">
        <v>6652</v>
      </c>
      <c r="AU492">
        <v>2000</v>
      </c>
      <c r="AV492">
        <v>40</v>
      </c>
      <c r="AW492">
        <v>6</v>
      </c>
      <c r="AX492" t="s">
        <v>74</v>
      </c>
      <c r="AY492" t="s">
        <v>74</v>
      </c>
      <c r="AZ492" t="s">
        <v>74</v>
      </c>
      <c r="BA492" t="s">
        <v>74</v>
      </c>
      <c r="BB492">
        <v>792</v>
      </c>
      <c r="BC492">
        <v>798</v>
      </c>
      <c r="BD492" t="s">
        <v>74</v>
      </c>
      <c r="BE492" t="s">
        <v>74</v>
      </c>
      <c r="BF492" t="s">
        <v>74</v>
      </c>
      <c r="BG492" t="s">
        <v>74</v>
      </c>
      <c r="BH492" t="s">
        <v>74</v>
      </c>
      <c r="BI492">
        <v>7</v>
      </c>
      <c r="BJ492" t="s">
        <v>953</v>
      </c>
      <c r="BK492" t="s">
        <v>94</v>
      </c>
      <c r="BL492" t="s">
        <v>953</v>
      </c>
      <c r="BM492" t="s">
        <v>6761</v>
      </c>
      <c r="BN492" t="s">
        <v>74</v>
      </c>
      <c r="BO492" t="s">
        <v>74</v>
      </c>
      <c r="BP492" t="s">
        <v>74</v>
      </c>
      <c r="BQ492" t="s">
        <v>74</v>
      </c>
      <c r="BR492" t="s">
        <v>97</v>
      </c>
      <c r="BS492" t="s">
        <v>6762</v>
      </c>
      <c r="BT492" t="str">
        <f>HYPERLINK("https%3A%2F%2Fwww.webofscience.com%2Fwos%2Fwoscc%2Ffull-record%2FWOS:000166312500021","View Full Record in Web of Science")</f>
        <v>View Full Record in Web of Science</v>
      </c>
    </row>
    <row r="493" spans="1:72" x14ac:dyDescent="0.15">
      <c r="A493" t="s">
        <v>72</v>
      </c>
      <c r="B493" t="s">
        <v>6763</v>
      </c>
      <c r="C493" t="s">
        <v>74</v>
      </c>
      <c r="D493" t="s">
        <v>74</v>
      </c>
      <c r="E493" t="s">
        <v>74</v>
      </c>
      <c r="F493" t="s">
        <v>6763</v>
      </c>
      <c r="G493" t="s">
        <v>74</v>
      </c>
      <c r="H493" t="s">
        <v>74</v>
      </c>
      <c r="I493" t="s">
        <v>6764</v>
      </c>
      <c r="J493" t="s">
        <v>1053</v>
      </c>
      <c r="K493" t="s">
        <v>74</v>
      </c>
      <c r="L493" t="s">
        <v>74</v>
      </c>
      <c r="M493" t="s">
        <v>77</v>
      </c>
      <c r="N493" t="s">
        <v>78</v>
      </c>
      <c r="O493" t="s">
        <v>74</v>
      </c>
      <c r="P493" t="s">
        <v>74</v>
      </c>
      <c r="Q493" t="s">
        <v>74</v>
      </c>
      <c r="R493" t="s">
        <v>74</v>
      </c>
      <c r="S493" t="s">
        <v>74</v>
      </c>
      <c r="T493" t="s">
        <v>74</v>
      </c>
      <c r="U493" t="s">
        <v>6765</v>
      </c>
      <c r="V493" t="s">
        <v>6766</v>
      </c>
      <c r="W493" t="s">
        <v>6767</v>
      </c>
      <c r="X493" t="s">
        <v>221</v>
      </c>
      <c r="Y493" t="s">
        <v>6768</v>
      </c>
      <c r="Z493" t="s">
        <v>6769</v>
      </c>
      <c r="AA493" t="s">
        <v>6770</v>
      </c>
      <c r="AB493" t="s">
        <v>6771</v>
      </c>
      <c r="AC493" t="s">
        <v>74</v>
      </c>
      <c r="AD493" t="s">
        <v>74</v>
      </c>
      <c r="AE493" t="s">
        <v>74</v>
      </c>
      <c r="AF493" t="s">
        <v>74</v>
      </c>
      <c r="AG493">
        <v>20</v>
      </c>
      <c r="AH493">
        <v>119</v>
      </c>
      <c r="AI493">
        <v>132</v>
      </c>
      <c r="AJ493">
        <v>2</v>
      </c>
      <c r="AK493">
        <v>24</v>
      </c>
      <c r="AL493" t="s">
        <v>1059</v>
      </c>
      <c r="AM493" t="s">
        <v>1060</v>
      </c>
      <c r="AN493" t="s">
        <v>1061</v>
      </c>
      <c r="AO493" t="s">
        <v>1062</v>
      </c>
      <c r="AP493" t="s">
        <v>6772</v>
      </c>
      <c r="AQ493" t="s">
        <v>74</v>
      </c>
      <c r="AR493" t="s">
        <v>1063</v>
      </c>
      <c r="AS493" t="s">
        <v>1064</v>
      </c>
      <c r="AT493" t="s">
        <v>6773</v>
      </c>
      <c r="AU493">
        <v>2000</v>
      </c>
      <c r="AV493">
        <v>27</v>
      </c>
      <c r="AW493">
        <v>21</v>
      </c>
      <c r="AX493" t="s">
        <v>74</v>
      </c>
      <c r="AY493" t="s">
        <v>74</v>
      </c>
      <c r="AZ493" t="s">
        <v>74</v>
      </c>
      <c r="BA493" t="s">
        <v>74</v>
      </c>
      <c r="BB493">
        <v>3469</v>
      </c>
      <c r="BC493">
        <v>3472</v>
      </c>
      <c r="BD493" t="s">
        <v>74</v>
      </c>
      <c r="BE493" t="s">
        <v>6774</v>
      </c>
      <c r="BF493" t="str">
        <f>HYPERLINK("http://dx.doi.org/10.1029/2000GL011771","http://dx.doi.org/10.1029/2000GL011771")</f>
        <v>http://dx.doi.org/10.1029/2000GL011771</v>
      </c>
      <c r="BG493" t="s">
        <v>74</v>
      </c>
      <c r="BH493" t="s">
        <v>74</v>
      </c>
      <c r="BI493">
        <v>4</v>
      </c>
      <c r="BJ493" t="s">
        <v>595</v>
      </c>
      <c r="BK493" t="s">
        <v>94</v>
      </c>
      <c r="BL493" t="s">
        <v>597</v>
      </c>
      <c r="BM493" t="s">
        <v>6775</v>
      </c>
      <c r="BN493" t="s">
        <v>74</v>
      </c>
      <c r="BO493" t="s">
        <v>6776</v>
      </c>
      <c r="BP493" t="s">
        <v>74</v>
      </c>
      <c r="BQ493" t="s">
        <v>74</v>
      </c>
      <c r="BR493" t="s">
        <v>97</v>
      </c>
      <c r="BS493" t="s">
        <v>6777</v>
      </c>
      <c r="BT493" t="str">
        <f>HYPERLINK("https%3A%2F%2Fwww.webofscience.com%2Fwos%2Fwoscc%2Ffull-record%2FWOS:000165063000009","View Full Record in Web of Science")</f>
        <v>View Full Record in Web of Science</v>
      </c>
    </row>
    <row r="494" spans="1:72" x14ac:dyDescent="0.15">
      <c r="A494" t="s">
        <v>72</v>
      </c>
      <c r="B494" t="s">
        <v>6778</v>
      </c>
      <c r="C494" t="s">
        <v>74</v>
      </c>
      <c r="D494" t="s">
        <v>74</v>
      </c>
      <c r="E494" t="s">
        <v>74</v>
      </c>
      <c r="F494" t="s">
        <v>6778</v>
      </c>
      <c r="G494" t="s">
        <v>74</v>
      </c>
      <c r="H494" t="s">
        <v>74</v>
      </c>
      <c r="I494" t="s">
        <v>6779</v>
      </c>
      <c r="J494" t="s">
        <v>1198</v>
      </c>
      <c r="K494" t="s">
        <v>74</v>
      </c>
      <c r="L494" t="s">
        <v>74</v>
      </c>
      <c r="M494" t="s">
        <v>77</v>
      </c>
      <c r="N494" t="s">
        <v>78</v>
      </c>
      <c r="O494" t="s">
        <v>74</v>
      </c>
      <c r="P494" t="s">
        <v>74</v>
      </c>
      <c r="Q494" t="s">
        <v>74</v>
      </c>
      <c r="R494" t="s">
        <v>74</v>
      </c>
      <c r="S494" t="s">
        <v>74</v>
      </c>
      <c r="T494" t="s">
        <v>6780</v>
      </c>
      <c r="U494" t="s">
        <v>6781</v>
      </c>
      <c r="V494" t="s">
        <v>6782</v>
      </c>
      <c r="W494" t="s">
        <v>6783</v>
      </c>
      <c r="X494" t="s">
        <v>6784</v>
      </c>
      <c r="Y494" t="s">
        <v>6785</v>
      </c>
      <c r="Z494" t="s">
        <v>74</v>
      </c>
      <c r="AA494" t="s">
        <v>6786</v>
      </c>
      <c r="AB494" t="s">
        <v>6787</v>
      </c>
      <c r="AC494" t="s">
        <v>74</v>
      </c>
      <c r="AD494" t="s">
        <v>74</v>
      </c>
      <c r="AE494" t="s">
        <v>74</v>
      </c>
      <c r="AF494" t="s">
        <v>74</v>
      </c>
      <c r="AG494">
        <v>68</v>
      </c>
      <c r="AH494">
        <v>30</v>
      </c>
      <c r="AI494">
        <v>31</v>
      </c>
      <c r="AJ494">
        <v>1</v>
      </c>
      <c r="AK494">
        <v>6</v>
      </c>
      <c r="AL494" t="s">
        <v>1207</v>
      </c>
      <c r="AM494" t="s">
        <v>1208</v>
      </c>
      <c r="AN494" t="s">
        <v>1209</v>
      </c>
      <c r="AO494" t="s">
        <v>1210</v>
      </c>
      <c r="AP494" t="s">
        <v>74</v>
      </c>
      <c r="AQ494" t="s">
        <v>74</v>
      </c>
      <c r="AR494" t="s">
        <v>1198</v>
      </c>
      <c r="AS494" t="s">
        <v>1212</v>
      </c>
      <c r="AT494" t="s">
        <v>6395</v>
      </c>
      <c r="AU494">
        <v>2000</v>
      </c>
      <c r="AV494">
        <v>10</v>
      </c>
      <c r="AW494">
        <v>6</v>
      </c>
      <c r="AX494" t="s">
        <v>74</v>
      </c>
      <c r="AY494" t="s">
        <v>74</v>
      </c>
      <c r="AZ494" t="s">
        <v>74</v>
      </c>
      <c r="BA494" t="s">
        <v>74</v>
      </c>
      <c r="BB494">
        <v>703</v>
      </c>
      <c r="BC494">
        <v>718</v>
      </c>
      <c r="BD494" t="s">
        <v>74</v>
      </c>
      <c r="BE494" t="s">
        <v>6788</v>
      </c>
      <c r="BF494" t="str">
        <f>HYPERLINK("http://dx.doi.org/10.1191/09596830094953","http://dx.doi.org/10.1191/09596830094953")</f>
        <v>http://dx.doi.org/10.1191/09596830094953</v>
      </c>
      <c r="BG494" t="s">
        <v>74</v>
      </c>
      <c r="BH494" t="s">
        <v>74</v>
      </c>
      <c r="BI494">
        <v>16</v>
      </c>
      <c r="BJ494" t="s">
        <v>1214</v>
      </c>
      <c r="BK494" t="s">
        <v>94</v>
      </c>
      <c r="BL494" t="s">
        <v>1215</v>
      </c>
      <c r="BM494" t="s">
        <v>6789</v>
      </c>
      <c r="BN494" t="s">
        <v>74</v>
      </c>
      <c r="BO494" t="s">
        <v>74</v>
      </c>
      <c r="BP494" t="s">
        <v>74</v>
      </c>
      <c r="BQ494" t="s">
        <v>74</v>
      </c>
      <c r="BR494" t="s">
        <v>97</v>
      </c>
      <c r="BS494" t="s">
        <v>6790</v>
      </c>
      <c r="BT494" t="str">
        <f>HYPERLINK("https%3A%2F%2Fwww.webofscience.com%2Fwos%2Fwoscc%2Ffull-record%2FWOS:000165393500004","View Full Record in Web of Science")</f>
        <v>View Full Record in Web of Science</v>
      </c>
    </row>
    <row r="495" spans="1:72" x14ac:dyDescent="0.15">
      <c r="A495" t="s">
        <v>72</v>
      </c>
      <c r="B495" t="s">
        <v>6791</v>
      </c>
      <c r="C495" t="s">
        <v>74</v>
      </c>
      <c r="D495" t="s">
        <v>74</v>
      </c>
      <c r="E495" t="s">
        <v>74</v>
      </c>
      <c r="F495" t="s">
        <v>6791</v>
      </c>
      <c r="G495" t="s">
        <v>74</v>
      </c>
      <c r="H495" t="s">
        <v>74</v>
      </c>
      <c r="I495" t="s">
        <v>6792</v>
      </c>
      <c r="J495" t="s">
        <v>1198</v>
      </c>
      <c r="K495" t="s">
        <v>74</v>
      </c>
      <c r="L495" t="s">
        <v>74</v>
      </c>
      <c r="M495" t="s">
        <v>77</v>
      </c>
      <c r="N495" t="s">
        <v>78</v>
      </c>
      <c r="O495" t="s">
        <v>74</v>
      </c>
      <c r="P495" t="s">
        <v>74</v>
      </c>
      <c r="Q495" t="s">
        <v>74</v>
      </c>
      <c r="R495" t="s">
        <v>74</v>
      </c>
      <c r="S495" t="s">
        <v>74</v>
      </c>
      <c r="T495" t="s">
        <v>6793</v>
      </c>
      <c r="U495" t="s">
        <v>6794</v>
      </c>
      <c r="V495" t="s">
        <v>6795</v>
      </c>
      <c r="W495" t="s">
        <v>6796</v>
      </c>
      <c r="X495" t="s">
        <v>6797</v>
      </c>
      <c r="Y495" t="s">
        <v>6798</v>
      </c>
      <c r="Z495" t="s">
        <v>74</v>
      </c>
      <c r="AA495" t="s">
        <v>6799</v>
      </c>
      <c r="AB495" t="s">
        <v>6800</v>
      </c>
      <c r="AC495" t="s">
        <v>74</v>
      </c>
      <c r="AD495" t="s">
        <v>74</v>
      </c>
      <c r="AE495" t="s">
        <v>74</v>
      </c>
      <c r="AF495" t="s">
        <v>74</v>
      </c>
      <c r="AG495">
        <v>42</v>
      </c>
      <c r="AH495">
        <v>30</v>
      </c>
      <c r="AI495">
        <v>31</v>
      </c>
      <c r="AJ495">
        <v>0</v>
      </c>
      <c r="AK495">
        <v>14</v>
      </c>
      <c r="AL495" t="s">
        <v>1228</v>
      </c>
      <c r="AM495" t="s">
        <v>1208</v>
      </c>
      <c r="AN495" t="s">
        <v>1229</v>
      </c>
      <c r="AO495" t="s">
        <v>1210</v>
      </c>
      <c r="AP495" t="s">
        <v>74</v>
      </c>
      <c r="AQ495" t="s">
        <v>74</v>
      </c>
      <c r="AR495" t="s">
        <v>1198</v>
      </c>
      <c r="AS495" t="s">
        <v>1212</v>
      </c>
      <c r="AT495" t="s">
        <v>6395</v>
      </c>
      <c r="AU495">
        <v>2000</v>
      </c>
      <c r="AV495">
        <v>10</v>
      </c>
      <c r="AW495">
        <v>6</v>
      </c>
      <c r="AX495" t="s">
        <v>74</v>
      </c>
      <c r="AY495" t="s">
        <v>74</v>
      </c>
      <c r="AZ495" t="s">
        <v>74</v>
      </c>
      <c r="BA495" t="s">
        <v>74</v>
      </c>
      <c r="BB495">
        <v>719</v>
      </c>
      <c r="BC495">
        <v>728</v>
      </c>
      <c r="BD495" t="s">
        <v>74</v>
      </c>
      <c r="BE495" t="s">
        <v>6801</v>
      </c>
      <c r="BF495" t="str">
        <f>HYPERLINK("http://dx.doi.org/10.1191/09596830094962","http://dx.doi.org/10.1191/09596830094962")</f>
        <v>http://dx.doi.org/10.1191/09596830094962</v>
      </c>
      <c r="BG495" t="s">
        <v>74</v>
      </c>
      <c r="BH495" t="s">
        <v>74</v>
      </c>
      <c r="BI495">
        <v>10</v>
      </c>
      <c r="BJ495" t="s">
        <v>1214</v>
      </c>
      <c r="BK495" t="s">
        <v>94</v>
      </c>
      <c r="BL495" t="s">
        <v>1215</v>
      </c>
      <c r="BM495" t="s">
        <v>6789</v>
      </c>
      <c r="BN495" t="s">
        <v>74</v>
      </c>
      <c r="BO495" t="s">
        <v>74</v>
      </c>
      <c r="BP495" t="s">
        <v>74</v>
      </c>
      <c r="BQ495" t="s">
        <v>74</v>
      </c>
      <c r="BR495" t="s">
        <v>97</v>
      </c>
      <c r="BS495" t="s">
        <v>6802</v>
      </c>
      <c r="BT495" t="str">
        <f>HYPERLINK("https%3A%2F%2Fwww.webofscience.com%2Fwos%2Fwoscc%2Ffull-record%2FWOS:000165393500005","View Full Record in Web of Science")</f>
        <v>View Full Record in Web of Science</v>
      </c>
    </row>
    <row r="496" spans="1:72" x14ac:dyDescent="0.15">
      <c r="A496" t="s">
        <v>72</v>
      </c>
      <c r="B496" t="s">
        <v>6803</v>
      </c>
      <c r="C496" t="s">
        <v>74</v>
      </c>
      <c r="D496" t="s">
        <v>74</v>
      </c>
      <c r="E496" t="s">
        <v>74</v>
      </c>
      <c r="F496" t="s">
        <v>6803</v>
      </c>
      <c r="G496" t="s">
        <v>74</v>
      </c>
      <c r="H496" t="s">
        <v>74</v>
      </c>
      <c r="I496" t="s">
        <v>6804</v>
      </c>
      <c r="J496" t="s">
        <v>1245</v>
      </c>
      <c r="K496" t="s">
        <v>74</v>
      </c>
      <c r="L496" t="s">
        <v>74</v>
      </c>
      <c r="M496" t="s">
        <v>77</v>
      </c>
      <c r="N496" t="s">
        <v>78</v>
      </c>
      <c r="O496" t="s">
        <v>74</v>
      </c>
      <c r="P496" t="s">
        <v>74</v>
      </c>
      <c r="Q496" t="s">
        <v>74</v>
      </c>
      <c r="R496" t="s">
        <v>74</v>
      </c>
      <c r="S496" t="s">
        <v>74</v>
      </c>
      <c r="T496" t="s">
        <v>6805</v>
      </c>
      <c r="U496" t="s">
        <v>6806</v>
      </c>
      <c r="V496" t="s">
        <v>6807</v>
      </c>
      <c r="W496" t="s">
        <v>6808</v>
      </c>
      <c r="X496" t="s">
        <v>6809</v>
      </c>
      <c r="Y496" t="s">
        <v>6810</v>
      </c>
      <c r="Z496" t="s">
        <v>6811</v>
      </c>
      <c r="AA496" t="s">
        <v>74</v>
      </c>
      <c r="AB496" t="s">
        <v>74</v>
      </c>
      <c r="AC496" t="s">
        <v>74</v>
      </c>
      <c r="AD496" t="s">
        <v>74</v>
      </c>
      <c r="AE496" t="s">
        <v>74</v>
      </c>
      <c r="AF496" t="s">
        <v>74</v>
      </c>
      <c r="AG496">
        <v>69</v>
      </c>
      <c r="AH496">
        <v>27</v>
      </c>
      <c r="AI496">
        <v>28</v>
      </c>
      <c r="AJ496">
        <v>0</v>
      </c>
      <c r="AK496">
        <v>2</v>
      </c>
      <c r="AL496" t="s">
        <v>906</v>
      </c>
      <c r="AM496" t="s">
        <v>738</v>
      </c>
      <c r="AN496" t="s">
        <v>1253</v>
      </c>
      <c r="AO496" t="s">
        <v>1254</v>
      </c>
      <c r="AP496" t="s">
        <v>1255</v>
      </c>
      <c r="AQ496" t="s">
        <v>74</v>
      </c>
      <c r="AR496" t="s">
        <v>1245</v>
      </c>
      <c r="AS496" t="s">
        <v>1256</v>
      </c>
      <c r="AT496" t="s">
        <v>6395</v>
      </c>
      <c r="AU496">
        <v>2000</v>
      </c>
      <c r="AV496">
        <v>439</v>
      </c>
      <c r="AW496" t="s">
        <v>1257</v>
      </c>
      <c r="AX496" t="s">
        <v>74</v>
      </c>
      <c r="AY496" t="s">
        <v>74</v>
      </c>
      <c r="AZ496" t="s">
        <v>74</v>
      </c>
      <c r="BA496" t="s">
        <v>74</v>
      </c>
      <c r="BB496">
        <v>21</v>
      </c>
      <c r="BC496">
        <v>42</v>
      </c>
      <c r="BD496" t="s">
        <v>74</v>
      </c>
      <c r="BE496" t="s">
        <v>6812</v>
      </c>
      <c r="BF496" t="str">
        <f>HYPERLINK("http://dx.doi.org/10.1023/A:1004193401931","http://dx.doi.org/10.1023/A:1004193401931")</f>
        <v>http://dx.doi.org/10.1023/A:1004193401931</v>
      </c>
      <c r="BG496" t="s">
        <v>74</v>
      </c>
      <c r="BH496" t="s">
        <v>74</v>
      </c>
      <c r="BI496">
        <v>22</v>
      </c>
      <c r="BJ496" t="s">
        <v>1259</v>
      </c>
      <c r="BK496" t="s">
        <v>94</v>
      </c>
      <c r="BL496" t="s">
        <v>1259</v>
      </c>
      <c r="BM496" t="s">
        <v>6813</v>
      </c>
      <c r="BN496" t="s">
        <v>74</v>
      </c>
      <c r="BO496" t="s">
        <v>74</v>
      </c>
      <c r="BP496" t="s">
        <v>74</v>
      </c>
      <c r="BQ496" t="s">
        <v>74</v>
      </c>
      <c r="BR496" t="s">
        <v>97</v>
      </c>
      <c r="BS496" t="s">
        <v>6814</v>
      </c>
      <c r="BT496" t="str">
        <f>HYPERLINK("https%3A%2F%2Fwww.webofscience.com%2Fwos%2Fwoscc%2Ffull-record%2FWOS:000166501600004","View Full Record in Web of Science")</f>
        <v>View Full Record in Web of Science</v>
      </c>
    </row>
    <row r="497" spans="1:72" x14ac:dyDescent="0.15">
      <c r="A497" t="s">
        <v>72</v>
      </c>
      <c r="B497" t="s">
        <v>6815</v>
      </c>
      <c r="C497" t="s">
        <v>74</v>
      </c>
      <c r="D497" t="s">
        <v>74</v>
      </c>
      <c r="E497" t="s">
        <v>74</v>
      </c>
      <c r="F497" t="s">
        <v>6815</v>
      </c>
      <c r="G497" t="s">
        <v>74</v>
      </c>
      <c r="H497" t="s">
        <v>74</v>
      </c>
      <c r="I497" t="s">
        <v>6816</v>
      </c>
      <c r="J497" t="s">
        <v>6817</v>
      </c>
      <c r="K497" t="s">
        <v>74</v>
      </c>
      <c r="L497" t="s">
        <v>74</v>
      </c>
      <c r="M497" t="s">
        <v>77</v>
      </c>
      <c r="N497" t="s">
        <v>78</v>
      </c>
      <c r="O497" t="s">
        <v>74</v>
      </c>
      <c r="P497" t="s">
        <v>74</v>
      </c>
      <c r="Q497" t="s">
        <v>74</v>
      </c>
      <c r="R497" t="s">
        <v>74</v>
      </c>
      <c r="S497" t="s">
        <v>74</v>
      </c>
      <c r="T497" t="s">
        <v>6818</v>
      </c>
      <c r="U497" t="s">
        <v>74</v>
      </c>
      <c r="V497" t="s">
        <v>6819</v>
      </c>
      <c r="W497" t="s">
        <v>6820</v>
      </c>
      <c r="X497" t="s">
        <v>6821</v>
      </c>
      <c r="Y497" t="s">
        <v>6822</v>
      </c>
      <c r="Z497" t="s">
        <v>6823</v>
      </c>
      <c r="AA497" t="s">
        <v>74</v>
      </c>
      <c r="AB497" t="s">
        <v>74</v>
      </c>
      <c r="AC497" t="s">
        <v>74</v>
      </c>
      <c r="AD497" t="s">
        <v>74</v>
      </c>
      <c r="AE497" t="s">
        <v>74</v>
      </c>
      <c r="AF497" t="s">
        <v>74</v>
      </c>
      <c r="AG497">
        <v>19</v>
      </c>
      <c r="AH497">
        <v>31</v>
      </c>
      <c r="AI497">
        <v>36</v>
      </c>
      <c r="AJ497">
        <v>0</v>
      </c>
      <c r="AK497">
        <v>10</v>
      </c>
      <c r="AL497" t="s">
        <v>1207</v>
      </c>
      <c r="AM497" t="s">
        <v>1208</v>
      </c>
      <c r="AN497" t="s">
        <v>1209</v>
      </c>
      <c r="AO497" t="s">
        <v>6824</v>
      </c>
      <c r="AP497" t="s">
        <v>6825</v>
      </c>
      <c r="AQ497" t="s">
        <v>74</v>
      </c>
      <c r="AR497" t="s">
        <v>6826</v>
      </c>
      <c r="AS497" t="s">
        <v>6827</v>
      </c>
      <c r="AT497" t="s">
        <v>6395</v>
      </c>
      <c r="AU497">
        <v>2000</v>
      </c>
      <c r="AV497">
        <v>19</v>
      </c>
      <c r="AW497">
        <v>11</v>
      </c>
      <c r="AX497" t="s">
        <v>74</v>
      </c>
      <c r="AY497" t="s">
        <v>74</v>
      </c>
      <c r="AZ497" t="s">
        <v>74</v>
      </c>
      <c r="BA497" t="s">
        <v>74</v>
      </c>
      <c r="BB497">
        <v>1015</v>
      </c>
      <c r="BC497">
        <v>1032</v>
      </c>
      <c r="BD497" t="s">
        <v>74</v>
      </c>
      <c r="BE497" t="s">
        <v>6828</v>
      </c>
      <c r="BF497" t="str">
        <f>HYPERLINK("http://dx.doi.org/10.1177/02783640022067940","http://dx.doi.org/10.1177/02783640022067940")</f>
        <v>http://dx.doi.org/10.1177/02783640022067940</v>
      </c>
      <c r="BG497" t="s">
        <v>74</v>
      </c>
      <c r="BH497" t="s">
        <v>74</v>
      </c>
      <c r="BI497">
        <v>18</v>
      </c>
      <c r="BJ497" t="s">
        <v>6829</v>
      </c>
      <c r="BK497" t="s">
        <v>94</v>
      </c>
      <c r="BL497" t="s">
        <v>6829</v>
      </c>
      <c r="BM497" t="s">
        <v>6830</v>
      </c>
      <c r="BN497" t="s">
        <v>74</v>
      </c>
      <c r="BO497" t="s">
        <v>296</v>
      </c>
      <c r="BP497" t="s">
        <v>74</v>
      </c>
      <c r="BQ497" t="s">
        <v>74</v>
      </c>
      <c r="BR497" t="s">
        <v>97</v>
      </c>
      <c r="BS497" t="s">
        <v>6831</v>
      </c>
      <c r="BT497" t="str">
        <f>HYPERLINK("https%3A%2F%2Fwww.webofscience.com%2Fwos%2Fwoscc%2Ffull-record%2FWOS:000089992700004","View Full Record in Web of Science")</f>
        <v>View Full Record in Web of Science</v>
      </c>
    </row>
    <row r="498" spans="1:72" x14ac:dyDescent="0.15">
      <c r="A498" t="s">
        <v>72</v>
      </c>
      <c r="B498" t="s">
        <v>6832</v>
      </c>
      <c r="C498" t="s">
        <v>74</v>
      </c>
      <c r="D498" t="s">
        <v>74</v>
      </c>
      <c r="E498" t="s">
        <v>74</v>
      </c>
      <c r="F498" t="s">
        <v>6832</v>
      </c>
      <c r="G498" t="s">
        <v>74</v>
      </c>
      <c r="H498" t="s">
        <v>74</v>
      </c>
      <c r="I498" t="s">
        <v>6833</v>
      </c>
      <c r="J498" t="s">
        <v>1911</v>
      </c>
      <c r="K498" t="s">
        <v>74</v>
      </c>
      <c r="L498" t="s">
        <v>74</v>
      </c>
      <c r="M498" t="s">
        <v>77</v>
      </c>
      <c r="N498" t="s">
        <v>78</v>
      </c>
      <c r="O498" t="s">
        <v>74</v>
      </c>
      <c r="P498" t="s">
        <v>74</v>
      </c>
      <c r="Q498" t="s">
        <v>74</v>
      </c>
      <c r="R498" t="s">
        <v>74</v>
      </c>
      <c r="S498" t="s">
        <v>74</v>
      </c>
      <c r="T498" t="s">
        <v>6834</v>
      </c>
      <c r="U498" t="s">
        <v>6835</v>
      </c>
      <c r="V498" t="s">
        <v>6836</v>
      </c>
      <c r="W498" t="s">
        <v>833</v>
      </c>
      <c r="X498" t="s">
        <v>221</v>
      </c>
      <c r="Y498" t="s">
        <v>6837</v>
      </c>
      <c r="Z498" t="s">
        <v>6838</v>
      </c>
      <c r="AA498" t="s">
        <v>74</v>
      </c>
      <c r="AB498" t="s">
        <v>74</v>
      </c>
      <c r="AC498" t="s">
        <v>74</v>
      </c>
      <c r="AD498" t="s">
        <v>74</v>
      </c>
      <c r="AE498" t="s">
        <v>74</v>
      </c>
      <c r="AF498" t="s">
        <v>74</v>
      </c>
      <c r="AG498">
        <v>97</v>
      </c>
      <c r="AH498">
        <v>9</v>
      </c>
      <c r="AI498">
        <v>10</v>
      </c>
      <c r="AJ498">
        <v>3</v>
      </c>
      <c r="AK498">
        <v>6</v>
      </c>
      <c r="AL498" t="s">
        <v>245</v>
      </c>
      <c r="AM498" t="s">
        <v>246</v>
      </c>
      <c r="AN498" t="s">
        <v>247</v>
      </c>
      <c r="AO498" t="s">
        <v>1918</v>
      </c>
      <c r="AP498" t="s">
        <v>6839</v>
      </c>
      <c r="AQ498" t="s">
        <v>74</v>
      </c>
      <c r="AR498" t="s">
        <v>1919</v>
      </c>
      <c r="AS498" t="s">
        <v>1920</v>
      </c>
      <c r="AT498" t="s">
        <v>6652</v>
      </c>
      <c r="AU498">
        <v>2000</v>
      </c>
      <c r="AV498">
        <v>62</v>
      </c>
      <c r="AW498" t="s">
        <v>6840</v>
      </c>
      <c r="AX498" t="s">
        <v>74</v>
      </c>
      <c r="AY498" t="s">
        <v>74</v>
      </c>
      <c r="AZ498" t="s">
        <v>74</v>
      </c>
      <c r="BA498" t="s">
        <v>74</v>
      </c>
      <c r="BB498">
        <v>1629</v>
      </c>
      <c r="BC498">
        <v>1645</v>
      </c>
      <c r="BD498" t="s">
        <v>74</v>
      </c>
      <c r="BE498" t="s">
        <v>6841</v>
      </c>
      <c r="BF498" t="str">
        <f>HYPERLINK("http://dx.doi.org/10.1016/S1364-6826(00)00116-4","http://dx.doi.org/10.1016/S1364-6826(00)00116-4")</f>
        <v>http://dx.doi.org/10.1016/S1364-6826(00)00116-4</v>
      </c>
      <c r="BG498" t="s">
        <v>74</v>
      </c>
      <c r="BH498" t="s">
        <v>74</v>
      </c>
      <c r="BI498">
        <v>17</v>
      </c>
      <c r="BJ498" t="s">
        <v>1085</v>
      </c>
      <c r="BK498" t="s">
        <v>94</v>
      </c>
      <c r="BL498" t="s">
        <v>1085</v>
      </c>
      <c r="BM498" t="s">
        <v>6842</v>
      </c>
      <c r="BN498" t="s">
        <v>74</v>
      </c>
      <c r="BO498" t="s">
        <v>74</v>
      </c>
      <c r="BP498" t="s">
        <v>74</v>
      </c>
      <c r="BQ498" t="s">
        <v>74</v>
      </c>
      <c r="BR498" t="s">
        <v>97</v>
      </c>
      <c r="BS498" t="s">
        <v>6843</v>
      </c>
      <c r="BT498" t="str">
        <f>HYPERLINK("https%3A%2F%2Fwww.webofscience.com%2Fwos%2Fwoscc%2Ffull-record%2FWOS:000166550600007","View Full Record in Web of Science")</f>
        <v>View Full Record in Web of Science</v>
      </c>
    </row>
    <row r="499" spans="1:72" x14ac:dyDescent="0.15">
      <c r="A499" t="s">
        <v>72</v>
      </c>
      <c r="B499" t="s">
        <v>6844</v>
      </c>
      <c r="C499" t="s">
        <v>74</v>
      </c>
      <c r="D499" t="s">
        <v>74</v>
      </c>
      <c r="E499" t="s">
        <v>74</v>
      </c>
      <c r="F499" t="s">
        <v>6844</v>
      </c>
      <c r="G499" t="s">
        <v>74</v>
      </c>
      <c r="H499" t="s">
        <v>74</v>
      </c>
      <c r="I499" t="s">
        <v>6845</v>
      </c>
      <c r="J499" t="s">
        <v>1926</v>
      </c>
      <c r="K499" t="s">
        <v>74</v>
      </c>
      <c r="L499" t="s">
        <v>74</v>
      </c>
      <c r="M499" t="s">
        <v>77</v>
      </c>
      <c r="N499" t="s">
        <v>78</v>
      </c>
      <c r="O499" t="s">
        <v>74</v>
      </c>
      <c r="P499" t="s">
        <v>74</v>
      </c>
      <c r="Q499" t="s">
        <v>74</v>
      </c>
      <c r="R499" t="s">
        <v>74</v>
      </c>
      <c r="S499" t="s">
        <v>74</v>
      </c>
      <c r="T499" t="s">
        <v>6846</v>
      </c>
      <c r="U499" t="s">
        <v>6847</v>
      </c>
      <c r="V499" t="s">
        <v>6848</v>
      </c>
      <c r="W499" t="s">
        <v>885</v>
      </c>
      <c r="X499" t="s">
        <v>221</v>
      </c>
      <c r="Y499" t="s">
        <v>1280</v>
      </c>
      <c r="Z499" t="s">
        <v>74</v>
      </c>
      <c r="AA499" t="s">
        <v>5106</v>
      </c>
      <c r="AB499" t="s">
        <v>5107</v>
      </c>
      <c r="AC499" t="s">
        <v>74</v>
      </c>
      <c r="AD499" t="s">
        <v>74</v>
      </c>
      <c r="AE499" t="s">
        <v>74</v>
      </c>
      <c r="AF499" t="s">
        <v>74</v>
      </c>
      <c r="AG499">
        <v>69</v>
      </c>
      <c r="AH499">
        <v>60</v>
      </c>
      <c r="AI499">
        <v>63</v>
      </c>
      <c r="AJ499">
        <v>0</v>
      </c>
      <c r="AK499">
        <v>16</v>
      </c>
      <c r="AL499" t="s">
        <v>813</v>
      </c>
      <c r="AM499" t="s">
        <v>814</v>
      </c>
      <c r="AN499" t="s">
        <v>815</v>
      </c>
      <c r="AO499" t="s">
        <v>1936</v>
      </c>
      <c r="AP499" t="s">
        <v>1937</v>
      </c>
      <c r="AQ499" t="s">
        <v>74</v>
      </c>
      <c r="AR499" t="s">
        <v>1938</v>
      </c>
      <c r="AS499" t="s">
        <v>1939</v>
      </c>
      <c r="AT499" t="s">
        <v>6395</v>
      </c>
      <c r="AU499">
        <v>2000</v>
      </c>
      <c r="AV499">
        <v>27</v>
      </c>
      <c r="AW499">
        <v>6</v>
      </c>
      <c r="AX499" t="s">
        <v>74</v>
      </c>
      <c r="AY499" t="s">
        <v>74</v>
      </c>
      <c r="AZ499" t="s">
        <v>74</v>
      </c>
      <c r="BA499" t="s">
        <v>74</v>
      </c>
      <c r="BB499">
        <v>1279</v>
      </c>
      <c r="BC499">
        <v>1295</v>
      </c>
      <c r="BD499" t="s">
        <v>74</v>
      </c>
      <c r="BE499" t="s">
        <v>6849</v>
      </c>
      <c r="BF499" t="str">
        <f>HYPERLINK("http://dx.doi.org/10.1046/j.1365-2699.2000.00512.x","http://dx.doi.org/10.1046/j.1365-2699.2000.00512.x")</f>
        <v>http://dx.doi.org/10.1046/j.1365-2699.2000.00512.x</v>
      </c>
      <c r="BG499" t="s">
        <v>74</v>
      </c>
      <c r="BH499" t="s">
        <v>74</v>
      </c>
      <c r="BI499">
        <v>17</v>
      </c>
      <c r="BJ499" t="s">
        <v>1941</v>
      </c>
      <c r="BK499" t="s">
        <v>94</v>
      </c>
      <c r="BL499" t="s">
        <v>1942</v>
      </c>
      <c r="BM499" t="s">
        <v>6850</v>
      </c>
      <c r="BN499" t="s">
        <v>74</v>
      </c>
      <c r="BO499" t="s">
        <v>1755</v>
      </c>
      <c r="BP499" t="s">
        <v>74</v>
      </c>
      <c r="BQ499" t="s">
        <v>74</v>
      </c>
      <c r="BR499" t="s">
        <v>97</v>
      </c>
      <c r="BS499" t="s">
        <v>6851</v>
      </c>
      <c r="BT499" t="str">
        <f>HYPERLINK("https%3A%2F%2Fwww.webofscience.com%2Fwos%2Fwoscc%2Ffull-record%2FWOS:000168256900003","View Full Record in Web of Science")</f>
        <v>View Full Record in Web of Science</v>
      </c>
    </row>
    <row r="500" spans="1:72" x14ac:dyDescent="0.15">
      <c r="A500" t="s">
        <v>72</v>
      </c>
      <c r="B500" t="s">
        <v>6852</v>
      </c>
      <c r="C500" t="s">
        <v>74</v>
      </c>
      <c r="D500" t="s">
        <v>74</v>
      </c>
      <c r="E500" t="s">
        <v>74</v>
      </c>
      <c r="F500" t="s">
        <v>6852</v>
      </c>
      <c r="G500" t="s">
        <v>74</v>
      </c>
      <c r="H500" t="s">
        <v>74</v>
      </c>
      <c r="I500" t="s">
        <v>6853</v>
      </c>
      <c r="J500" t="s">
        <v>1947</v>
      </c>
      <c r="K500" t="s">
        <v>74</v>
      </c>
      <c r="L500" t="s">
        <v>74</v>
      </c>
      <c r="M500" t="s">
        <v>77</v>
      </c>
      <c r="N500" t="s">
        <v>78</v>
      </c>
      <c r="O500" t="s">
        <v>74</v>
      </c>
      <c r="P500" t="s">
        <v>74</v>
      </c>
      <c r="Q500" t="s">
        <v>74</v>
      </c>
      <c r="R500" t="s">
        <v>74</v>
      </c>
      <c r="S500" t="s">
        <v>74</v>
      </c>
      <c r="T500" t="s">
        <v>74</v>
      </c>
      <c r="U500" t="s">
        <v>6854</v>
      </c>
      <c r="V500" t="s">
        <v>6855</v>
      </c>
      <c r="W500" t="s">
        <v>2188</v>
      </c>
      <c r="X500" t="s">
        <v>1883</v>
      </c>
      <c r="Y500" t="s">
        <v>6856</v>
      </c>
      <c r="Z500" t="s">
        <v>74</v>
      </c>
      <c r="AA500" t="s">
        <v>6857</v>
      </c>
      <c r="AB500" t="s">
        <v>6858</v>
      </c>
      <c r="AC500" t="s">
        <v>74</v>
      </c>
      <c r="AD500" t="s">
        <v>74</v>
      </c>
      <c r="AE500" t="s">
        <v>74</v>
      </c>
      <c r="AF500" t="s">
        <v>74</v>
      </c>
      <c r="AG500">
        <v>23</v>
      </c>
      <c r="AH500">
        <v>49</v>
      </c>
      <c r="AI500">
        <v>52</v>
      </c>
      <c r="AJ500">
        <v>0</v>
      </c>
      <c r="AK500">
        <v>3</v>
      </c>
      <c r="AL500" t="s">
        <v>1842</v>
      </c>
      <c r="AM500" t="s">
        <v>1843</v>
      </c>
      <c r="AN500" t="s">
        <v>1844</v>
      </c>
      <c r="AO500" t="s">
        <v>1951</v>
      </c>
      <c r="AP500" t="s">
        <v>74</v>
      </c>
      <c r="AQ500" t="s">
        <v>74</v>
      </c>
      <c r="AR500" t="s">
        <v>1952</v>
      </c>
      <c r="AS500" t="s">
        <v>1953</v>
      </c>
      <c r="AT500" t="s">
        <v>6773</v>
      </c>
      <c r="AU500">
        <v>2000</v>
      </c>
      <c r="AV500">
        <v>13</v>
      </c>
      <c r="AW500">
        <v>21</v>
      </c>
      <c r="AX500" t="s">
        <v>74</v>
      </c>
      <c r="AY500" t="s">
        <v>74</v>
      </c>
      <c r="AZ500" t="s">
        <v>74</v>
      </c>
      <c r="BA500" t="s">
        <v>74</v>
      </c>
      <c r="BB500">
        <v>3885</v>
      </c>
      <c r="BC500">
        <v>3889</v>
      </c>
      <c r="BD500" t="s">
        <v>74</v>
      </c>
      <c r="BE500" t="s">
        <v>6859</v>
      </c>
      <c r="BF500" t="str">
        <f>HYPERLINK("http://dx.doi.org/10.1175/1520-0442(2000)013&lt;3885:OTIOAT&gt;2.0.CO;2","http://dx.doi.org/10.1175/1520-0442(2000)013&lt;3885:OTIOAT&gt;2.0.CO;2")</f>
        <v>http://dx.doi.org/10.1175/1520-0442(2000)013&lt;3885:OTIOAT&gt;2.0.CO;2</v>
      </c>
      <c r="BG500" t="s">
        <v>74</v>
      </c>
      <c r="BH500" t="s">
        <v>74</v>
      </c>
      <c r="BI500">
        <v>5</v>
      </c>
      <c r="BJ500" t="s">
        <v>167</v>
      </c>
      <c r="BK500" t="s">
        <v>94</v>
      </c>
      <c r="BL500" t="s">
        <v>167</v>
      </c>
      <c r="BM500" t="s">
        <v>6860</v>
      </c>
      <c r="BN500" t="s">
        <v>74</v>
      </c>
      <c r="BO500" t="s">
        <v>1850</v>
      </c>
      <c r="BP500" t="s">
        <v>74</v>
      </c>
      <c r="BQ500" t="s">
        <v>74</v>
      </c>
      <c r="BR500" t="s">
        <v>97</v>
      </c>
      <c r="BS500" t="s">
        <v>6861</v>
      </c>
      <c r="BT500" t="str">
        <f>HYPERLINK("https%3A%2F%2Fwww.webofscience.com%2Fwos%2Fwoscc%2Ffull-record%2FWOS:000165275700011","View Full Record in Web of Science")</f>
        <v>View Full Record in Web of Science</v>
      </c>
    </row>
    <row r="501" spans="1:72" x14ac:dyDescent="0.15">
      <c r="A501" t="s">
        <v>72</v>
      </c>
      <c r="B501" t="s">
        <v>6862</v>
      </c>
      <c r="C501" t="s">
        <v>74</v>
      </c>
      <c r="D501" t="s">
        <v>74</v>
      </c>
      <c r="E501" t="s">
        <v>74</v>
      </c>
      <c r="F501" t="s">
        <v>6862</v>
      </c>
      <c r="G501" t="s">
        <v>74</v>
      </c>
      <c r="H501" t="s">
        <v>74</v>
      </c>
      <c r="I501" t="s">
        <v>6863</v>
      </c>
      <c r="J501" t="s">
        <v>6864</v>
      </c>
      <c r="K501" t="s">
        <v>74</v>
      </c>
      <c r="L501" t="s">
        <v>74</v>
      </c>
      <c r="M501" t="s">
        <v>77</v>
      </c>
      <c r="N501" t="s">
        <v>78</v>
      </c>
      <c r="O501" t="s">
        <v>74</v>
      </c>
      <c r="P501" t="s">
        <v>74</v>
      </c>
      <c r="Q501" t="s">
        <v>74</v>
      </c>
      <c r="R501" t="s">
        <v>74</v>
      </c>
      <c r="S501" t="s">
        <v>74</v>
      </c>
      <c r="T501" t="s">
        <v>6865</v>
      </c>
      <c r="U501" t="s">
        <v>6866</v>
      </c>
      <c r="V501" t="s">
        <v>6867</v>
      </c>
      <c r="W501" t="s">
        <v>6868</v>
      </c>
      <c r="X501" t="s">
        <v>6869</v>
      </c>
      <c r="Y501" t="s">
        <v>6870</v>
      </c>
      <c r="Z501" t="s">
        <v>74</v>
      </c>
      <c r="AA501" t="s">
        <v>74</v>
      </c>
      <c r="AB501" t="s">
        <v>6871</v>
      </c>
      <c r="AC501" t="s">
        <v>74</v>
      </c>
      <c r="AD501" t="s">
        <v>74</v>
      </c>
      <c r="AE501" t="s">
        <v>74</v>
      </c>
      <c r="AF501" t="s">
        <v>74</v>
      </c>
      <c r="AG501">
        <v>27</v>
      </c>
      <c r="AH501">
        <v>11</v>
      </c>
      <c r="AI501">
        <v>15</v>
      </c>
      <c r="AJ501">
        <v>0</v>
      </c>
      <c r="AK501">
        <v>5</v>
      </c>
      <c r="AL501" t="s">
        <v>159</v>
      </c>
      <c r="AM501" t="s">
        <v>160</v>
      </c>
      <c r="AN501" t="s">
        <v>161</v>
      </c>
      <c r="AO501" t="s">
        <v>5492</v>
      </c>
      <c r="AP501" t="s">
        <v>74</v>
      </c>
      <c r="AQ501" t="s">
        <v>74</v>
      </c>
      <c r="AR501" t="s">
        <v>5494</v>
      </c>
      <c r="AS501" t="s">
        <v>5495</v>
      </c>
      <c r="AT501" t="s">
        <v>6395</v>
      </c>
      <c r="AU501">
        <v>2000</v>
      </c>
      <c r="AV501">
        <v>170</v>
      </c>
      <c r="AW501">
        <v>7</v>
      </c>
      <c r="AX501" t="s">
        <v>74</v>
      </c>
      <c r="AY501" t="s">
        <v>74</v>
      </c>
      <c r="AZ501" t="s">
        <v>74</v>
      </c>
      <c r="BA501" t="s">
        <v>74</v>
      </c>
      <c r="BB501">
        <v>545</v>
      </c>
      <c r="BC501">
        <v>550</v>
      </c>
      <c r="BD501" t="s">
        <v>74</v>
      </c>
      <c r="BE501" t="s">
        <v>6872</v>
      </c>
      <c r="BF501" t="str">
        <f>HYPERLINK("http://dx.doi.org/10.1007/s003600000133","http://dx.doi.org/10.1007/s003600000133")</f>
        <v>http://dx.doi.org/10.1007/s003600000133</v>
      </c>
      <c r="BG501" t="s">
        <v>74</v>
      </c>
      <c r="BH501" t="s">
        <v>74</v>
      </c>
      <c r="BI501">
        <v>6</v>
      </c>
      <c r="BJ501" t="s">
        <v>5497</v>
      </c>
      <c r="BK501" t="s">
        <v>94</v>
      </c>
      <c r="BL501" t="s">
        <v>5497</v>
      </c>
      <c r="BM501" t="s">
        <v>6873</v>
      </c>
      <c r="BN501">
        <v>11128445</v>
      </c>
      <c r="BO501" t="s">
        <v>74</v>
      </c>
      <c r="BP501" t="s">
        <v>74</v>
      </c>
      <c r="BQ501" t="s">
        <v>74</v>
      </c>
      <c r="BR501" t="s">
        <v>97</v>
      </c>
      <c r="BS501" t="s">
        <v>6874</v>
      </c>
      <c r="BT501" t="str">
        <f>HYPERLINK("https%3A%2F%2Fwww.webofscience.com%2Fwos%2Fwoscc%2Ffull-record%2FWOS:000165434300009","View Full Record in Web of Science")</f>
        <v>View Full Record in Web of Science</v>
      </c>
    </row>
    <row r="502" spans="1:72" x14ac:dyDescent="0.15">
      <c r="A502" t="s">
        <v>72</v>
      </c>
      <c r="B502" t="s">
        <v>6875</v>
      </c>
      <c r="C502" t="s">
        <v>74</v>
      </c>
      <c r="D502" t="s">
        <v>74</v>
      </c>
      <c r="E502" t="s">
        <v>74</v>
      </c>
      <c r="F502" t="s">
        <v>6875</v>
      </c>
      <c r="G502" t="s">
        <v>74</v>
      </c>
      <c r="H502" t="s">
        <v>74</v>
      </c>
      <c r="I502" t="s">
        <v>6876</v>
      </c>
      <c r="J502" t="s">
        <v>2125</v>
      </c>
      <c r="K502" t="s">
        <v>74</v>
      </c>
      <c r="L502" t="s">
        <v>74</v>
      </c>
      <c r="M502" t="s">
        <v>77</v>
      </c>
      <c r="N502" t="s">
        <v>78</v>
      </c>
      <c r="O502" t="s">
        <v>74</v>
      </c>
      <c r="P502" t="s">
        <v>74</v>
      </c>
      <c r="Q502" t="s">
        <v>74</v>
      </c>
      <c r="R502" t="s">
        <v>74</v>
      </c>
      <c r="S502" t="s">
        <v>74</v>
      </c>
      <c r="T502" t="s">
        <v>74</v>
      </c>
      <c r="U502" t="s">
        <v>6877</v>
      </c>
      <c r="V502" t="s">
        <v>6878</v>
      </c>
      <c r="W502" t="s">
        <v>6879</v>
      </c>
      <c r="X502" t="s">
        <v>6880</v>
      </c>
      <c r="Y502" t="s">
        <v>6881</v>
      </c>
      <c r="Z502" t="s">
        <v>6882</v>
      </c>
      <c r="AA502" t="s">
        <v>6883</v>
      </c>
      <c r="AB502" t="s">
        <v>6884</v>
      </c>
      <c r="AC502" t="s">
        <v>74</v>
      </c>
      <c r="AD502" t="s">
        <v>74</v>
      </c>
      <c r="AE502" t="s">
        <v>74</v>
      </c>
      <c r="AF502" t="s">
        <v>74</v>
      </c>
      <c r="AG502">
        <v>53</v>
      </c>
      <c r="AH502">
        <v>81</v>
      </c>
      <c r="AI502">
        <v>95</v>
      </c>
      <c r="AJ502">
        <v>0</v>
      </c>
      <c r="AK502">
        <v>5</v>
      </c>
      <c r="AL502" t="s">
        <v>2132</v>
      </c>
      <c r="AM502" t="s">
        <v>2133</v>
      </c>
      <c r="AN502" t="s">
        <v>2134</v>
      </c>
      <c r="AO502" t="s">
        <v>2135</v>
      </c>
      <c r="AP502" t="s">
        <v>74</v>
      </c>
      <c r="AQ502" t="s">
        <v>74</v>
      </c>
      <c r="AR502" t="s">
        <v>2136</v>
      </c>
      <c r="AS502" t="s">
        <v>2137</v>
      </c>
      <c r="AT502" t="s">
        <v>6395</v>
      </c>
      <c r="AU502">
        <v>2000</v>
      </c>
      <c r="AV502">
        <v>108</v>
      </c>
      <c r="AW502">
        <v>6</v>
      </c>
      <c r="AX502" t="s">
        <v>74</v>
      </c>
      <c r="AY502" t="s">
        <v>74</v>
      </c>
      <c r="AZ502" t="s">
        <v>74</v>
      </c>
      <c r="BA502" t="s">
        <v>74</v>
      </c>
      <c r="BB502">
        <v>623</v>
      </c>
      <c r="BC502">
        <v>640</v>
      </c>
      <c r="BD502" t="s">
        <v>74</v>
      </c>
      <c r="BE502" t="s">
        <v>6885</v>
      </c>
      <c r="BF502" t="str">
        <f>HYPERLINK("http://dx.doi.org/10.1086/317952","http://dx.doi.org/10.1086/317952")</f>
        <v>http://dx.doi.org/10.1086/317952</v>
      </c>
      <c r="BG502" t="s">
        <v>74</v>
      </c>
      <c r="BH502" t="s">
        <v>74</v>
      </c>
      <c r="BI502">
        <v>18</v>
      </c>
      <c r="BJ502" t="s">
        <v>597</v>
      </c>
      <c r="BK502" t="s">
        <v>94</v>
      </c>
      <c r="BL502" t="s">
        <v>597</v>
      </c>
      <c r="BM502" t="s">
        <v>6886</v>
      </c>
      <c r="BN502" t="s">
        <v>74</v>
      </c>
      <c r="BO502" t="s">
        <v>74</v>
      </c>
      <c r="BP502" t="s">
        <v>74</v>
      </c>
      <c r="BQ502" t="s">
        <v>74</v>
      </c>
      <c r="BR502" t="s">
        <v>97</v>
      </c>
      <c r="BS502" t="s">
        <v>6887</v>
      </c>
      <c r="BT502" t="str">
        <f>HYPERLINK("https%3A%2F%2Fwww.webofscience.com%2Fwos%2Fwoscc%2Ffull-record%2FWOS:000090106800001","View Full Record in Web of Science")</f>
        <v>View Full Record in Web of Science</v>
      </c>
    </row>
    <row r="503" spans="1:72" x14ac:dyDescent="0.15">
      <c r="A503" t="s">
        <v>72</v>
      </c>
      <c r="B503" t="s">
        <v>6888</v>
      </c>
      <c r="C503" t="s">
        <v>74</v>
      </c>
      <c r="D503" t="s">
        <v>74</v>
      </c>
      <c r="E503" t="s">
        <v>74</v>
      </c>
      <c r="F503" t="s">
        <v>6888</v>
      </c>
      <c r="G503" t="s">
        <v>74</v>
      </c>
      <c r="H503" t="s">
        <v>74</v>
      </c>
      <c r="I503" t="s">
        <v>6889</v>
      </c>
      <c r="J503" t="s">
        <v>2125</v>
      </c>
      <c r="K503" t="s">
        <v>74</v>
      </c>
      <c r="L503" t="s">
        <v>74</v>
      </c>
      <c r="M503" t="s">
        <v>77</v>
      </c>
      <c r="N503" t="s">
        <v>78</v>
      </c>
      <c r="O503" t="s">
        <v>74</v>
      </c>
      <c r="P503" t="s">
        <v>74</v>
      </c>
      <c r="Q503" t="s">
        <v>74</v>
      </c>
      <c r="R503" t="s">
        <v>74</v>
      </c>
      <c r="S503" t="s">
        <v>74</v>
      </c>
      <c r="T503" t="s">
        <v>74</v>
      </c>
      <c r="U503" t="s">
        <v>6890</v>
      </c>
      <c r="V503" t="s">
        <v>6891</v>
      </c>
      <c r="W503" t="s">
        <v>6892</v>
      </c>
      <c r="X503" t="s">
        <v>74</v>
      </c>
      <c r="Y503" t="s">
        <v>6893</v>
      </c>
      <c r="Z503" t="s">
        <v>6894</v>
      </c>
      <c r="AA503" t="s">
        <v>6895</v>
      </c>
      <c r="AB503" t="s">
        <v>6896</v>
      </c>
      <c r="AC503" t="s">
        <v>74</v>
      </c>
      <c r="AD503" t="s">
        <v>74</v>
      </c>
      <c r="AE503" t="s">
        <v>74</v>
      </c>
      <c r="AF503" t="s">
        <v>74</v>
      </c>
      <c r="AG503">
        <v>87</v>
      </c>
      <c r="AH503">
        <v>22</v>
      </c>
      <c r="AI503">
        <v>22</v>
      </c>
      <c r="AJ503">
        <v>0</v>
      </c>
      <c r="AK503">
        <v>4</v>
      </c>
      <c r="AL503" t="s">
        <v>2132</v>
      </c>
      <c r="AM503" t="s">
        <v>2133</v>
      </c>
      <c r="AN503" t="s">
        <v>2134</v>
      </c>
      <c r="AO503" t="s">
        <v>2135</v>
      </c>
      <c r="AP503" t="s">
        <v>6897</v>
      </c>
      <c r="AQ503" t="s">
        <v>74</v>
      </c>
      <c r="AR503" t="s">
        <v>2136</v>
      </c>
      <c r="AS503" t="s">
        <v>2137</v>
      </c>
      <c r="AT503" t="s">
        <v>6395</v>
      </c>
      <c r="AU503">
        <v>2000</v>
      </c>
      <c r="AV503">
        <v>108</v>
      </c>
      <c r="AW503">
        <v>6</v>
      </c>
      <c r="AX503" t="s">
        <v>74</v>
      </c>
      <c r="AY503" t="s">
        <v>74</v>
      </c>
      <c r="AZ503" t="s">
        <v>74</v>
      </c>
      <c r="BA503" t="s">
        <v>74</v>
      </c>
      <c r="BB503">
        <v>663</v>
      </c>
      <c r="BC503">
        <v>686</v>
      </c>
      <c r="BD503" t="s">
        <v>74</v>
      </c>
      <c r="BE503" t="s">
        <v>6898</v>
      </c>
      <c r="BF503" t="str">
        <f>HYPERLINK("http://dx.doi.org/10.1086/317950","http://dx.doi.org/10.1086/317950")</f>
        <v>http://dx.doi.org/10.1086/317950</v>
      </c>
      <c r="BG503" t="s">
        <v>74</v>
      </c>
      <c r="BH503" t="s">
        <v>74</v>
      </c>
      <c r="BI503">
        <v>24</v>
      </c>
      <c r="BJ503" t="s">
        <v>597</v>
      </c>
      <c r="BK503" t="s">
        <v>94</v>
      </c>
      <c r="BL503" t="s">
        <v>597</v>
      </c>
      <c r="BM503" t="s">
        <v>6886</v>
      </c>
      <c r="BN503" t="s">
        <v>74</v>
      </c>
      <c r="BO503" t="s">
        <v>74</v>
      </c>
      <c r="BP503" t="s">
        <v>74</v>
      </c>
      <c r="BQ503" t="s">
        <v>74</v>
      </c>
      <c r="BR503" t="s">
        <v>97</v>
      </c>
      <c r="BS503" t="s">
        <v>6899</v>
      </c>
      <c r="BT503" t="str">
        <f>HYPERLINK("https%3A%2F%2Fwww.webofscience.com%2Fwos%2Fwoscc%2Ffull-record%2FWOS:000090106800003","View Full Record in Web of Science")</f>
        <v>View Full Record in Web of Science</v>
      </c>
    </row>
    <row r="504" spans="1:72" x14ac:dyDescent="0.15">
      <c r="A504" t="s">
        <v>72</v>
      </c>
      <c r="B504" t="s">
        <v>6900</v>
      </c>
      <c r="C504" t="s">
        <v>74</v>
      </c>
      <c r="D504" t="s">
        <v>74</v>
      </c>
      <c r="E504" t="s">
        <v>74</v>
      </c>
      <c r="F504" t="s">
        <v>6900</v>
      </c>
      <c r="G504" t="s">
        <v>74</v>
      </c>
      <c r="H504" t="s">
        <v>74</v>
      </c>
      <c r="I504" t="s">
        <v>6901</v>
      </c>
      <c r="J504" t="s">
        <v>6902</v>
      </c>
      <c r="K504" t="s">
        <v>74</v>
      </c>
      <c r="L504" t="s">
        <v>74</v>
      </c>
      <c r="M504" t="s">
        <v>77</v>
      </c>
      <c r="N504" t="s">
        <v>78</v>
      </c>
      <c r="O504" t="s">
        <v>74</v>
      </c>
      <c r="P504" t="s">
        <v>74</v>
      </c>
      <c r="Q504" t="s">
        <v>74</v>
      </c>
      <c r="R504" t="s">
        <v>74</v>
      </c>
      <c r="S504" t="s">
        <v>74</v>
      </c>
      <c r="T504" t="s">
        <v>6903</v>
      </c>
      <c r="U504" t="s">
        <v>6904</v>
      </c>
      <c r="V504" t="s">
        <v>6905</v>
      </c>
      <c r="W504" t="s">
        <v>6906</v>
      </c>
      <c r="X504" t="s">
        <v>6907</v>
      </c>
      <c r="Y504" t="s">
        <v>6908</v>
      </c>
      <c r="Z504" t="s">
        <v>6909</v>
      </c>
      <c r="AA504" t="s">
        <v>6910</v>
      </c>
      <c r="AB504" t="s">
        <v>6911</v>
      </c>
      <c r="AC504" t="s">
        <v>74</v>
      </c>
      <c r="AD504" t="s">
        <v>74</v>
      </c>
      <c r="AE504" t="s">
        <v>74</v>
      </c>
      <c r="AF504" t="s">
        <v>74</v>
      </c>
      <c r="AG504">
        <v>75</v>
      </c>
      <c r="AH504">
        <v>44</v>
      </c>
      <c r="AI504">
        <v>44</v>
      </c>
      <c r="AJ504">
        <v>0</v>
      </c>
      <c r="AK504">
        <v>20</v>
      </c>
      <c r="AL504" t="s">
        <v>6630</v>
      </c>
      <c r="AM504" t="s">
        <v>6631</v>
      </c>
      <c r="AN504" t="s">
        <v>6632</v>
      </c>
      <c r="AO504" t="s">
        <v>6912</v>
      </c>
      <c r="AP504" t="s">
        <v>6913</v>
      </c>
      <c r="AQ504" t="s">
        <v>74</v>
      </c>
      <c r="AR504" t="s">
        <v>6914</v>
      </c>
      <c r="AS504" t="s">
        <v>6915</v>
      </c>
      <c r="AT504" t="s">
        <v>6395</v>
      </c>
      <c r="AU504">
        <v>2000</v>
      </c>
      <c r="AV504">
        <v>81</v>
      </c>
      <c r="AW504">
        <v>4</v>
      </c>
      <c r="AX504" t="s">
        <v>74</v>
      </c>
      <c r="AY504" t="s">
        <v>74</v>
      </c>
      <c r="AZ504" t="s">
        <v>74</v>
      </c>
      <c r="BA504" t="s">
        <v>74</v>
      </c>
      <c r="BB504">
        <v>1008</v>
      </c>
      <c r="BC504">
        <v>1024</v>
      </c>
      <c r="BD504" t="s">
        <v>74</v>
      </c>
      <c r="BE504" t="s">
        <v>6916</v>
      </c>
      <c r="BF504" t="str">
        <f>HYPERLINK("http://dx.doi.org/10.1644/1545-1542(2000)081&lt;1008:CAODMP&gt;2.0.CO;2","http://dx.doi.org/10.1644/1545-1542(2000)081&lt;1008:CAODMP&gt;2.0.CO;2")</f>
        <v>http://dx.doi.org/10.1644/1545-1542(2000)081&lt;1008:CAODMP&gt;2.0.CO;2</v>
      </c>
      <c r="BG504" t="s">
        <v>74</v>
      </c>
      <c r="BH504" t="s">
        <v>74</v>
      </c>
      <c r="BI504">
        <v>17</v>
      </c>
      <c r="BJ504" t="s">
        <v>206</v>
      </c>
      <c r="BK504" t="s">
        <v>94</v>
      </c>
      <c r="BL504" t="s">
        <v>206</v>
      </c>
      <c r="BM504" t="s">
        <v>6917</v>
      </c>
      <c r="BN504" t="s">
        <v>74</v>
      </c>
      <c r="BO504" t="s">
        <v>74</v>
      </c>
      <c r="BP504" t="s">
        <v>74</v>
      </c>
      <c r="BQ504" t="s">
        <v>74</v>
      </c>
      <c r="BR504" t="s">
        <v>97</v>
      </c>
      <c r="BS504" t="s">
        <v>6918</v>
      </c>
      <c r="BT504" t="str">
        <f>HYPERLINK("https%3A%2F%2Fwww.webofscience.com%2Fwos%2Fwoscc%2Ffull-record%2FWOS:000165637900010","View Full Record in Web of Science")</f>
        <v>View Full Record in Web of Science</v>
      </c>
    </row>
    <row r="505" spans="1:72" x14ac:dyDescent="0.15">
      <c r="A505" t="s">
        <v>72</v>
      </c>
      <c r="B505" t="s">
        <v>6919</v>
      </c>
      <c r="C505" t="s">
        <v>74</v>
      </c>
      <c r="D505" t="s">
        <v>74</v>
      </c>
      <c r="E505" t="s">
        <v>74</v>
      </c>
      <c r="F505" t="s">
        <v>6919</v>
      </c>
      <c r="G505" t="s">
        <v>74</v>
      </c>
      <c r="H505" t="s">
        <v>74</v>
      </c>
      <c r="I505" t="s">
        <v>6920</v>
      </c>
      <c r="J505" t="s">
        <v>6902</v>
      </c>
      <c r="K505" t="s">
        <v>74</v>
      </c>
      <c r="L505" t="s">
        <v>74</v>
      </c>
      <c r="M505" t="s">
        <v>77</v>
      </c>
      <c r="N505" t="s">
        <v>78</v>
      </c>
      <c r="O505" t="s">
        <v>74</v>
      </c>
      <c r="P505" t="s">
        <v>74</v>
      </c>
      <c r="Q505" t="s">
        <v>74</v>
      </c>
      <c r="R505" t="s">
        <v>74</v>
      </c>
      <c r="S505" t="s">
        <v>74</v>
      </c>
      <c r="T505" t="s">
        <v>6921</v>
      </c>
      <c r="U505" t="s">
        <v>6922</v>
      </c>
      <c r="V505" t="s">
        <v>6923</v>
      </c>
      <c r="W505" t="s">
        <v>6924</v>
      </c>
      <c r="X505" t="s">
        <v>6925</v>
      </c>
      <c r="Y505" t="s">
        <v>6926</v>
      </c>
      <c r="Z505" t="s">
        <v>6927</v>
      </c>
      <c r="AA505" t="s">
        <v>6928</v>
      </c>
      <c r="AB505" t="s">
        <v>6929</v>
      </c>
      <c r="AC505" t="s">
        <v>74</v>
      </c>
      <c r="AD505" t="s">
        <v>74</v>
      </c>
      <c r="AE505" t="s">
        <v>74</v>
      </c>
      <c r="AF505" t="s">
        <v>74</v>
      </c>
      <c r="AG505">
        <v>60</v>
      </c>
      <c r="AH505">
        <v>32</v>
      </c>
      <c r="AI505">
        <v>35</v>
      </c>
      <c r="AJ505">
        <v>1</v>
      </c>
      <c r="AK505">
        <v>17</v>
      </c>
      <c r="AL505" t="s">
        <v>6630</v>
      </c>
      <c r="AM505" t="s">
        <v>6631</v>
      </c>
      <c r="AN505" t="s">
        <v>6632</v>
      </c>
      <c r="AO505" t="s">
        <v>6912</v>
      </c>
      <c r="AP505" t="s">
        <v>6913</v>
      </c>
      <c r="AQ505" t="s">
        <v>74</v>
      </c>
      <c r="AR505" t="s">
        <v>6914</v>
      </c>
      <c r="AS505" t="s">
        <v>6915</v>
      </c>
      <c r="AT505" t="s">
        <v>6395</v>
      </c>
      <c r="AU505">
        <v>2000</v>
      </c>
      <c r="AV505">
        <v>81</v>
      </c>
      <c r="AW505">
        <v>4</v>
      </c>
      <c r="AX505" t="s">
        <v>74</v>
      </c>
      <c r="AY505" t="s">
        <v>74</v>
      </c>
      <c r="AZ505" t="s">
        <v>74</v>
      </c>
      <c r="BA505" t="s">
        <v>74</v>
      </c>
      <c r="BB505">
        <v>1143</v>
      </c>
      <c r="BC505">
        <v>1156</v>
      </c>
      <c r="BD505" t="s">
        <v>74</v>
      </c>
      <c r="BE505" t="s">
        <v>6930</v>
      </c>
      <c r="BF505" t="str">
        <f>HYPERLINK("http://dx.doi.org/10.1644/1545-1542(2000)081&lt;1143:MEOOMA&gt;2.0.CO;2","http://dx.doi.org/10.1644/1545-1542(2000)081&lt;1143:MEOOMA&gt;2.0.CO;2")</f>
        <v>http://dx.doi.org/10.1644/1545-1542(2000)081&lt;1143:MEOOMA&gt;2.0.CO;2</v>
      </c>
      <c r="BG505" t="s">
        <v>74</v>
      </c>
      <c r="BH505" t="s">
        <v>74</v>
      </c>
      <c r="BI505">
        <v>14</v>
      </c>
      <c r="BJ505" t="s">
        <v>206</v>
      </c>
      <c r="BK505" t="s">
        <v>94</v>
      </c>
      <c r="BL505" t="s">
        <v>206</v>
      </c>
      <c r="BM505" t="s">
        <v>6917</v>
      </c>
      <c r="BN505" t="s">
        <v>74</v>
      </c>
      <c r="BO505" t="s">
        <v>1755</v>
      </c>
      <c r="BP505" t="s">
        <v>74</v>
      </c>
      <c r="BQ505" t="s">
        <v>74</v>
      </c>
      <c r="BR505" t="s">
        <v>97</v>
      </c>
      <c r="BS505" t="s">
        <v>6931</v>
      </c>
      <c r="BT505" t="str">
        <f>HYPERLINK("https%3A%2F%2Fwww.webofscience.com%2Fwos%2Fwoscc%2Ffull-record%2FWOS:000165637900023","View Full Record in Web of Science")</f>
        <v>View Full Record in Web of Science</v>
      </c>
    </row>
    <row r="506" spans="1:72" x14ac:dyDescent="0.15">
      <c r="A506" t="s">
        <v>72</v>
      </c>
      <c r="B506" t="s">
        <v>6932</v>
      </c>
      <c r="C506" t="s">
        <v>74</v>
      </c>
      <c r="D506" t="s">
        <v>74</v>
      </c>
      <c r="E506" t="s">
        <v>74</v>
      </c>
      <c r="F506" t="s">
        <v>6932</v>
      </c>
      <c r="G506" t="s">
        <v>74</v>
      </c>
      <c r="H506" t="s">
        <v>74</v>
      </c>
      <c r="I506" t="s">
        <v>6933</v>
      </c>
      <c r="J506" t="s">
        <v>6934</v>
      </c>
      <c r="K506" t="s">
        <v>74</v>
      </c>
      <c r="L506" t="s">
        <v>74</v>
      </c>
      <c r="M506" t="s">
        <v>77</v>
      </c>
      <c r="N506" t="s">
        <v>78</v>
      </c>
      <c r="O506" t="s">
        <v>74</v>
      </c>
      <c r="P506" t="s">
        <v>74</v>
      </c>
      <c r="Q506" t="s">
        <v>74</v>
      </c>
      <c r="R506" t="s">
        <v>74</v>
      </c>
      <c r="S506" t="s">
        <v>74</v>
      </c>
      <c r="T506" t="s">
        <v>74</v>
      </c>
      <c r="U506" t="s">
        <v>6935</v>
      </c>
      <c r="V506" t="s">
        <v>6936</v>
      </c>
      <c r="W506" t="s">
        <v>6937</v>
      </c>
      <c r="X506" t="s">
        <v>6938</v>
      </c>
      <c r="Y506" t="s">
        <v>6939</v>
      </c>
      <c r="Z506" t="s">
        <v>74</v>
      </c>
      <c r="AA506" t="s">
        <v>6940</v>
      </c>
      <c r="AB506" t="s">
        <v>6941</v>
      </c>
      <c r="AC506" t="s">
        <v>74</v>
      </c>
      <c r="AD506" t="s">
        <v>74</v>
      </c>
      <c r="AE506" t="s">
        <v>74</v>
      </c>
      <c r="AF506" t="s">
        <v>74</v>
      </c>
      <c r="AG506">
        <v>28</v>
      </c>
      <c r="AH506">
        <v>2</v>
      </c>
      <c r="AI506">
        <v>2</v>
      </c>
      <c r="AJ506">
        <v>0</v>
      </c>
      <c r="AK506">
        <v>2</v>
      </c>
      <c r="AL506" t="s">
        <v>6942</v>
      </c>
      <c r="AM506" t="s">
        <v>6943</v>
      </c>
      <c r="AN506" t="s">
        <v>6944</v>
      </c>
      <c r="AO506" t="s">
        <v>6945</v>
      </c>
      <c r="AP506" t="s">
        <v>74</v>
      </c>
      <c r="AQ506" t="s">
        <v>74</v>
      </c>
      <c r="AR506" t="s">
        <v>6946</v>
      </c>
      <c r="AS506" t="s">
        <v>6947</v>
      </c>
      <c r="AT506" t="s">
        <v>6395</v>
      </c>
      <c r="AU506">
        <v>2000</v>
      </c>
      <c r="AV506">
        <v>58</v>
      </c>
      <c r="AW506">
        <v>6</v>
      </c>
      <c r="AX506" t="s">
        <v>74</v>
      </c>
      <c r="AY506" t="s">
        <v>74</v>
      </c>
      <c r="AZ506" t="s">
        <v>74</v>
      </c>
      <c r="BA506" t="s">
        <v>74</v>
      </c>
      <c r="BB506">
        <v>837</v>
      </c>
      <c r="BC506">
        <v>862</v>
      </c>
      <c r="BD506" t="s">
        <v>74</v>
      </c>
      <c r="BE506" t="s">
        <v>6948</v>
      </c>
      <c r="BF506" t="str">
        <f>HYPERLINK("http://dx.doi.org/10.1357/002224000763485728","http://dx.doi.org/10.1357/002224000763485728")</f>
        <v>http://dx.doi.org/10.1357/002224000763485728</v>
      </c>
      <c r="BG506" t="s">
        <v>74</v>
      </c>
      <c r="BH506" t="s">
        <v>74</v>
      </c>
      <c r="BI506">
        <v>26</v>
      </c>
      <c r="BJ506" t="s">
        <v>252</v>
      </c>
      <c r="BK506" t="s">
        <v>94</v>
      </c>
      <c r="BL506" t="s">
        <v>252</v>
      </c>
      <c r="BM506" t="s">
        <v>6949</v>
      </c>
      <c r="BN506" t="s">
        <v>74</v>
      </c>
      <c r="BO506" t="s">
        <v>296</v>
      </c>
      <c r="BP506" t="s">
        <v>74</v>
      </c>
      <c r="BQ506" t="s">
        <v>74</v>
      </c>
      <c r="BR506" t="s">
        <v>97</v>
      </c>
      <c r="BS506" t="s">
        <v>6950</v>
      </c>
      <c r="BT506" t="str">
        <f>HYPERLINK("https%3A%2F%2Fwww.webofscience.com%2Fwos%2Fwoscc%2Ffull-record%2FWOS:000166875900001","View Full Record in Web of Science")</f>
        <v>View Full Record in Web of Science</v>
      </c>
    </row>
    <row r="507" spans="1:72" x14ac:dyDescent="0.15">
      <c r="A507" t="s">
        <v>72</v>
      </c>
      <c r="B507" t="s">
        <v>6951</v>
      </c>
      <c r="C507" t="s">
        <v>74</v>
      </c>
      <c r="D507" t="s">
        <v>74</v>
      </c>
      <c r="E507" t="s">
        <v>74</v>
      </c>
      <c r="F507" t="s">
        <v>6951</v>
      </c>
      <c r="G507" t="s">
        <v>74</v>
      </c>
      <c r="H507" t="s">
        <v>74</v>
      </c>
      <c r="I507" t="s">
        <v>6952</v>
      </c>
      <c r="J507" t="s">
        <v>6934</v>
      </c>
      <c r="K507" t="s">
        <v>74</v>
      </c>
      <c r="L507" t="s">
        <v>74</v>
      </c>
      <c r="M507" t="s">
        <v>77</v>
      </c>
      <c r="N507" t="s">
        <v>78</v>
      </c>
      <c r="O507" t="s">
        <v>74</v>
      </c>
      <c r="P507" t="s">
        <v>74</v>
      </c>
      <c r="Q507" t="s">
        <v>74</v>
      </c>
      <c r="R507" t="s">
        <v>74</v>
      </c>
      <c r="S507" t="s">
        <v>74</v>
      </c>
      <c r="T507" t="s">
        <v>74</v>
      </c>
      <c r="U507" t="s">
        <v>6953</v>
      </c>
      <c r="V507" t="s">
        <v>6954</v>
      </c>
      <c r="W507" t="s">
        <v>6955</v>
      </c>
      <c r="X507" t="s">
        <v>6956</v>
      </c>
      <c r="Y507" t="s">
        <v>6957</v>
      </c>
      <c r="Z507" t="s">
        <v>74</v>
      </c>
      <c r="AA507" t="s">
        <v>6958</v>
      </c>
      <c r="AB507" t="s">
        <v>6959</v>
      </c>
      <c r="AC507" t="s">
        <v>74</v>
      </c>
      <c r="AD507" t="s">
        <v>74</v>
      </c>
      <c r="AE507" t="s">
        <v>74</v>
      </c>
      <c r="AF507" t="s">
        <v>74</v>
      </c>
      <c r="AG507">
        <v>55</v>
      </c>
      <c r="AH507">
        <v>34</v>
      </c>
      <c r="AI507">
        <v>34</v>
      </c>
      <c r="AJ507">
        <v>0</v>
      </c>
      <c r="AK507">
        <v>14</v>
      </c>
      <c r="AL507" t="s">
        <v>6942</v>
      </c>
      <c r="AM507" t="s">
        <v>6943</v>
      </c>
      <c r="AN507" t="s">
        <v>6944</v>
      </c>
      <c r="AO507" t="s">
        <v>6945</v>
      </c>
      <c r="AP507" t="s">
        <v>74</v>
      </c>
      <c r="AQ507" t="s">
        <v>74</v>
      </c>
      <c r="AR507" t="s">
        <v>6946</v>
      </c>
      <c r="AS507" t="s">
        <v>6947</v>
      </c>
      <c r="AT507" t="s">
        <v>6395</v>
      </c>
      <c r="AU507">
        <v>2000</v>
      </c>
      <c r="AV507">
        <v>58</v>
      </c>
      <c r="AW507">
        <v>6</v>
      </c>
      <c r="AX507" t="s">
        <v>74</v>
      </c>
      <c r="AY507" t="s">
        <v>74</v>
      </c>
      <c r="AZ507" t="s">
        <v>74</v>
      </c>
      <c r="BA507" t="s">
        <v>74</v>
      </c>
      <c r="BB507">
        <v>1007</v>
      </c>
      <c r="BC507">
        <v>1039</v>
      </c>
      <c r="BD507" t="s">
        <v>74</v>
      </c>
      <c r="BE507" t="s">
        <v>6960</v>
      </c>
      <c r="BF507" t="str">
        <f>HYPERLINK("http://dx.doi.org/10.1357/002224000763485782","http://dx.doi.org/10.1357/002224000763485782")</f>
        <v>http://dx.doi.org/10.1357/002224000763485782</v>
      </c>
      <c r="BG507" t="s">
        <v>74</v>
      </c>
      <c r="BH507" t="s">
        <v>74</v>
      </c>
      <c r="BI507">
        <v>33</v>
      </c>
      <c r="BJ507" t="s">
        <v>252</v>
      </c>
      <c r="BK507" t="s">
        <v>94</v>
      </c>
      <c r="BL507" t="s">
        <v>252</v>
      </c>
      <c r="BM507" t="s">
        <v>6949</v>
      </c>
      <c r="BN507" t="s">
        <v>74</v>
      </c>
      <c r="BO507" t="s">
        <v>296</v>
      </c>
      <c r="BP507" t="s">
        <v>74</v>
      </c>
      <c r="BQ507" t="s">
        <v>74</v>
      </c>
      <c r="BR507" t="s">
        <v>97</v>
      </c>
      <c r="BS507" t="s">
        <v>6961</v>
      </c>
      <c r="BT507" t="str">
        <f>HYPERLINK("https%3A%2F%2Fwww.webofscience.com%2Fwos%2Fwoscc%2Ffull-record%2FWOS:000166875900007","View Full Record in Web of Science")</f>
        <v>View Full Record in Web of Science</v>
      </c>
    </row>
    <row r="508" spans="1:72" x14ac:dyDescent="0.15">
      <c r="A508" t="s">
        <v>72</v>
      </c>
      <c r="B508" t="s">
        <v>6962</v>
      </c>
      <c r="C508" t="s">
        <v>74</v>
      </c>
      <c r="D508" t="s">
        <v>74</v>
      </c>
      <c r="E508" t="s">
        <v>74</v>
      </c>
      <c r="F508" t="s">
        <v>6962</v>
      </c>
      <c r="G508" t="s">
        <v>74</v>
      </c>
      <c r="H508" t="s">
        <v>74</v>
      </c>
      <c r="I508" t="s">
        <v>6963</v>
      </c>
      <c r="J508" t="s">
        <v>2387</v>
      </c>
      <c r="K508" t="s">
        <v>74</v>
      </c>
      <c r="L508" t="s">
        <v>74</v>
      </c>
      <c r="M508" t="s">
        <v>77</v>
      </c>
      <c r="N508" t="s">
        <v>78</v>
      </c>
      <c r="O508" t="s">
        <v>74</v>
      </c>
      <c r="P508" t="s">
        <v>74</v>
      </c>
      <c r="Q508" t="s">
        <v>74</v>
      </c>
      <c r="R508" t="s">
        <v>74</v>
      </c>
      <c r="S508" t="s">
        <v>74</v>
      </c>
      <c r="T508" t="s">
        <v>6964</v>
      </c>
      <c r="U508" t="s">
        <v>6965</v>
      </c>
      <c r="V508" t="s">
        <v>6966</v>
      </c>
      <c r="W508" t="s">
        <v>6967</v>
      </c>
      <c r="X508" t="s">
        <v>6968</v>
      </c>
      <c r="Y508" t="s">
        <v>6969</v>
      </c>
      <c r="Z508" t="s">
        <v>74</v>
      </c>
      <c r="AA508" t="s">
        <v>6970</v>
      </c>
      <c r="AB508" t="s">
        <v>6971</v>
      </c>
      <c r="AC508" t="s">
        <v>74</v>
      </c>
      <c r="AD508" t="s">
        <v>74</v>
      </c>
      <c r="AE508" t="s">
        <v>74</v>
      </c>
      <c r="AF508" t="s">
        <v>74</v>
      </c>
      <c r="AG508">
        <v>47</v>
      </c>
      <c r="AH508">
        <v>17</v>
      </c>
      <c r="AI508">
        <v>17</v>
      </c>
      <c r="AJ508">
        <v>0</v>
      </c>
      <c r="AK508">
        <v>0</v>
      </c>
      <c r="AL508" t="s">
        <v>1120</v>
      </c>
      <c r="AM508" t="s">
        <v>1121</v>
      </c>
      <c r="AN508" t="s">
        <v>2394</v>
      </c>
      <c r="AO508" t="s">
        <v>2395</v>
      </c>
      <c r="AP508" t="s">
        <v>74</v>
      </c>
      <c r="AQ508" t="s">
        <v>74</v>
      </c>
      <c r="AR508" t="s">
        <v>2396</v>
      </c>
      <c r="AS508" t="s">
        <v>2397</v>
      </c>
      <c r="AT508" t="s">
        <v>6395</v>
      </c>
      <c r="AU508">
        <v>2000</v>
      </c>
      <c r="AV508">
        <v>26</v>
      </c>
      <c r="AW508" t="s">
        <v>1046</v>
      </c>
      <c r="AX508" t="s">
        <v>74</v>
      </c>
      <c r="AY508" t="s">
        <v>74</v>
      </c>
      <c r="AZ508" t="s">
        <v>74</v>
      </c>
      <c r="BA508" t="s">
        <v>74</v>
      </c>
      <c r="BB508">
        <v>303</v>
      </c>
      <c r="BC508">
        <v>322</v>
      </c>
      <c r="BD508" t="s">
        <v>74</v>
      </c>
      <c r="BE508" t="s">
        <v>6972</v>
      </c>
      <c r="BF508" t="str">
        <f>HYPERLINK("http://dx.doi.org/10.1016/S0924-7963(00)00043-9","http://dx.doi.org/10.1016/S0924-7963(00)00043-9")</f>
        <v>http://dx.doi.org/10.1016/S0924-7963(00)00043-9</v>
      </c>
      <c r="BG508" t="s">
        <v>74</v>
      </c>
      <c r="BH508" t="s">
        <v>74</v>
      </c>
      <c r="BI508">
        <v>20</v>
      </c>
      <c r="BJ508" t="s">
        <v>2399</v>
      </c>
      <c r="BK508" t="s">
        <v>94</v>
      </c>
      <c r="BL508" t="s">
        <v>2400</v>
      </c>
      <c r="BM508" t="s">
        <v>6973</v>
      </c>
      <c r="BN508" t="s">
        <v>74</v>
      </c>
      <c r="BO508" t="s">
        <v>74</v>
      </c>
      <c r="BP508" t="s">
        <v>74</v>
      </c>
      <c r="BQ508" t="s">
        <v>74</v>
      </c>
      <c r="BR508" t="s">
        <v>97</v>
      </c>
      <c r="BS508" t="s">
        <v>6974</v>
      </c>
      <c r="BT508" t="str">
        <f>HYPERLINK("https%3A%2F%2Fwww.webofscience.com%2Fwos%2Fwoscc%2Ffull-record%2FWOS:000165463100004","View Full Record in Web of Science")</f>
        <v>View Full Record in Web of Science</v>
      </c>
    </row>
    <row r="509" spans="1:72" x14ac:dyDescent="0.15">
      <c r="A509" t="s">
        <v>72</v>
      </c>
      <c r="B509" t="s">
        <v>6962</v>
      </c>
      <c r="C509" t="s">
        <v>74</v>
      </c>
      <c r="D509" t="s">
        <v>74</v>
      </c>
      <c r="E509" t="s">
        <v>74</v>
      </c>
      <c r="F509" t="s">
        <v>6962</v>
      </c>
      <c r="G509" t="s">
        <v>74</v>
      </c>
      <c r="H509" t="s">
        <v>74</v>
      </c>
      <c r="I509" t="s">
        <v>6975</v>
      </c>
      <c r="J509" t="s">
        <v>2387</v>
      </c>
      <c r="K509" t="s">
        <v>74</v>
      </c>
      <c r="L509" t="s">
        <v>74</v>
      </c>
      <c r="M509" t="s">
        <v>77</v>
      </c>
      <c r="N509" t="s">
        <v>78</v>
      </c>
      <c r="O509" t="s">
        <v>74</v>
      </c>
      <c r="P509" t="s">
        <v>74</v>
      </c>
      <c r="Q509" t="s">
        <v>74</v>
      </c>
      <c r="R509" t="s">
        <v>74</v>
      </c>
      <c r="S509" t="s">
        <v>74</v>
      </c>
      <c r="T509" t="s">
        <v>6976</v>
      </c>
      <c r="U509" t="s">
        <v>6977</v>
      </c>
      <c r="V509" t="s">
        <v>6978</v>
      </c>
      <c r="W509" t="s">
        <v>6967</v>
      </c>
      <c r="X509" t="s">
        <v>6968</v>
      </c>
      <c r="Y509" t="s">
        <v>6969</v>
      </c>
      <c r="Z509" t="s">
        <v>74</v>
      </c>
      <c r="AA509" t="s">
        <v>6970</v>
      </c>
      <c r="AB509" t="s">
        <v>6971</v>
      </c>
      <c r="AC509" t="s">
        <v>74</v>
      </c>
      <c r="AD509" t="s">
        <v>74</v>
      </c>
      <c r="AE509" t="s">
        <v>74</v>
      </c>
      <c r="AF509" t="s">
        <v>74</v>
      </c>
      <c r="AG509">
        <v>34</v>
      </c>
      <c r="AH509">
        <v>17</v>
      </c>
      <c r="AI509">
        <v>18</v>
      </c>
      <c r="AJ509">
        <v>0</v>
      </c>
      <c r="AK509">
        <v>1</v>
      </c>
      <c r="AL509" t="s">
        <v>1120</v>
      </c>
      <c r="AM509" t="s">
        <v>1121</v>
      </c>
      <c r="AN509" t="s">
        <v>2394</v>
      </c>
      <c r="AO509" t="s">
        <v>2395</v>
      </c>
      <c r="AP509" t="s">
        <v>74</v>
      </c>
      <c r="AQ509" t="s">
        <v>74</v>
      </c>
      <c r="AR509" t="s">
        <v>2396</v>
      </c>
      <c r="AS509" t="s">
        <v>2397</v>
      </c>
      <c r="AT509" t="s">
        <v>6395</v>
      </c>
      <c r="AU509">
        <v>2000</v>
      </c>
      <c r="AV509">
        <v>26</v>
      </c>
      <c r="AW509" t="s">
        <v>1046</v>
      </c>
      <c r="AX509" t="s">
        <v>74</v>
      </c>
      <c r="AY509" t="s">
        <v>74</v>
      </c>
      <c r="AZ509" t="s">
        <v>74</v>
      </c>
      <c r="BA509" t="s">
        <v>74</v>
      </c>
      <c r="BB509">
        <v>323</v>
      </c>
      <c r="BC509">
        <v>347</v>
      </c>
      <c r="BD509" t="s">
        <v>74</v>
      </c>
      <c r="BE509" t="s">
        <v>6979</v>
      </c>
      <c r="BF509" t="str">
        <f>HYPERLINK("http://dx.doi.org/10.1016/S0924-7963(00)00044-0","http://dx.doi.org/10.1016/S0924-7963(00)00044-0")</f>
        <v>http://dx.doi.org/10.1016/S0924-7963(00)00044-0</v>
      </c>
      <c r="BG509" t="s">
        <v>74</v>
      </c>
      <c r="BH509" t="s">
        <v>74</v>
      </c>
      <c r="BI509">
        <v>25</v>
      </c>
      <c r="BJ509" t="s">
        <v>2399</v>
      </c>
      <c r="BK509" t="s">
        <v>94</v>
      </c>
      <c r="BL509" t="s">
        <v>2400</v>
      </c>
      <c r="BM509" t="s">
        <v>6973</v>
      </c>
      <c r="BN509" t="s">
        <v>74</v>
      </c>
      <c r="BO509" t="s">
        <v>74</v>
      </c>
      <c r="BP509" t="s">
        <v>74</v>
      </c>
      <c r="BQ509" t="s">
        <v>74</v>
      </c>
      <c r="BR509" t="s">
        <v>97</v>
      </c>
      <c r="BS509" t="s">
        <v>6980</v>
      </c>
      <c r="BT509" t="str">
        <f>HYPERLINK("https%3A%2F%2Fwww.webofscience.com%2Fwos%2Fwoscc%2Ffull-record%2FWOS:000165463100005","View Full Record in Web of Science")</f>
        <v>View Full Record in Web of Science</v>
      </c>
    </row>
    <row r="510" spans="1:72" x14ac:dyDescent="0.15">
      <c r="A510" t="s">
        <v>72</v>
      </c>
      <c r="B510" t="s">
        <v>6981</v>
      </c>
      <c r="C510" t="s">
        <v>74</v>
      </c>
      <c r="D510" t="s">
        <v>74</v>
      </c>
      <c r="E510" t="s">
        <v>74</v>
      </c>
      <c r="F510" t="s">
        <v>6981</v>
      </c>
      <c r="G510" t="s">
        <v>74</v>
      </c>
      <c r="H510" t="s">
        <v>74</v>
      </c>
      <c r="I510" t="s">
        <v>6982</v>
      </c>
      <c r="J510" t="s">
        <v>2417</v>
      </c>
      <c r="K510" t="s">
        <v>74</v>
      </c>
      <c r="L510" t="s">
        <v>74</v>
      </c>
      <c r="M510" t="s">
        <v>77</v>
      </c>
      <c r="N510" t="s">
        <v>78</v>
      </c>
      <c r="O510" t="s">
        <v>74</v>
      </c>
      <c r="P510" t="s">
        <v>74</v>
      </c>
      <c r="Q510" t="s">
        <v>74</v>
      </c>
      <c r="R510" t="s">
        <v>74</v>
      </c>
      <c r="S510" t="s">
        <v>74</v>
      </c>
      <c r="T510" t="s">
        <v>74</v>
      </c>
      <c r="U510" t="s">
        <v>6983</v>
      </c>
      <c r="V510" t="s">
        <v>6984</v>
      </c>
      <c r="W510" t="s">
        <v>6985</v>
      </c>
      <c r="X510" t="s">
        <v>74</v>
      </c>
      <c r="Y510" t="s">
        <v>6986</v>
      </c>
      <c r="Z510" t="s">
        <v>6987</v>
      </c>
      <c r="AA510" t="s">
        <v>74</v>
      </c>
      <c r="AB510" t="s">
        <v>74</v>
      </c>
      <c r="AC510" t="s">
        <v>74</v>
      </c>
      <c r="AD510" t="s">
        <v>74</v>
      </c>
      <c r="AE510" t="s">
        <v>74</v>
      </c>
      <c r="AF510" t="s">
        <v>74</v>
      </c>
      <c r="AG510">
        <v>20</v>
      </c>
      <c r="AH510">
        <v>21</v>
      </c>
      <c r="AI510">
        <v>23</v>
      </c>
      <c r="AJ510">
        <v>0</v>
      </c>
      <c r="AK510">
        <v>4</v>
      </c>
      <c r="AL510" t="s">
        <v>1842</v>
      </c>
      <c r="AM510" t="s">
        <v>1843</v>
      </c>
      <c r="AN510" t="s">
        <v>1844</v>
      </c>
      <c r="AO510" t="s">
        <v>2423</v>
      </c>
      <c r="AP510" t="s">
        <v>2491</v>
      </c>
      <c r="AQ510" t="s">
        <v>74</v>
      </c>
      <c r="AR510" t="s">
        <v>2424</v>
      </c>
      <c r="AS510" t="s">
        <v>2425</v>
      </c>
      <c r="AT510" t="s">
        <v>6395</v>
      </c>
      <c r="AU510">
        <v>2000</v>
      </c>
      <c r="AV510">
        <v>30</v>
      </c>
      <c r="AW510">
        <v>11</v>
      </c>
      <c r="AX510" t="s">
        <v>74</v>
      </c>
      <c r="AY510" t="s">
        <v>74</v>
      </c>
      <c r="AZ510" t="s">
        <v>74</v>
      </c>
      <c r="BA510" t="s">
        <v>74</v>
      </c>
      <c r="BB510">
        <v>2710</v>
      </c>
      <c r="BC510">
        <v>2722</v>
      </c>
      <c r="BD510" t="s">
        <v>74</v>
      </c>
      <c r="BE510" t="s">
        <v>6988</v>
      </c>
      <c r="BF510" t="str">
        <f>HYPERLINK("http://dx.doi.org/10.1175/1520-0485(2000)030&lt;2710:MTSITI&gt;2.0.CO;2","http://dx.doi.org/10.1175/1520-0485(2000)030&lt;2710:MTSITI&gt;2.0.CO;2")</f>
        <v>http://dx.doi.org/10.1175/1520-0485(2000)030&lt;2710:MTSITI&gt;2.0.CO;2</v>
      </c>
      <c r="BG510" t="s">
        <v>74</v>
      </c>
      <c r="BH510" t="s">
        <v>74</v>
      </c>
      <c r="BI510">
        <v>13</v>
      </c>
      <c r="BJ510" t="s">
        <v>252</v>
      </c>
      <c r="BK510" t="s">
        <v>94</v>
      </c>
      <c r="BL510" t="s">
        <v>252</v>
      </c>
      <c r="BM510" t="s">
        <v>6989</v>
      </c>
      <c r="BN510" t="s">
        <v>74</v>
      </c>
      <c r="BO510" t="s">
        <v>1755</v>
      </c>
      <c r="BP510" t="s">
        <v>74</v>
      </c>
      <c r="BQ510" t="s">
        <v>74</v>
      </c>
      <c r="BR510" t="s">
        <v>97</v>
      </c>
      <c r="BS510" t="s">
        <v>6990</v>
      </c>
      <c r="BT510" t="str">
        <f>HYPERLINK("https%3A%2F%2Fwww.webofscience.com%2Fwos%2Fwoscc%2Ffull-record%2FWOS:000165588500005","View Full Record in Web of Science")</f>
        <v>View Full Record in Web of Science</v>
      </c>
    </row>
    <row r="511" spans="1:72" x14ac:dyDescent="0.15">
      <c r="A511" t="s">
        <v>72</v>
      </c>
      <c r="B511" t="s">
        <v>6991</v>
      </c>
      <c r="C511" t="s">
        <v>74</v>
      </c>
      <c r="D511" t="s">
        <v>74</v>
      </c>
      <c r="E511" t="s">
        <v>74</v>
      </c>
      <c r="F511" t="s">
        <v>6991</v>
      </c>
      <c r="G511" t="s">
        <v>74</v>
      </c>
      <c r="H511" t="s">
        <v>74</v>
      </c>
      <c r="I511" t="s">
        <v>6992</v>
      </c>
      <c r="J511" t="s">
        <v>6993</v>
      </c>
      <c r="K511" t="s">
        <v>74</v>
      </c>
      <c r="L511" t="s">
        <v>74</v>
      </c>
      <c r="M511" t="s">
        <v>77</v>
      </c>
      <c r="N511" t="s">
        <v>78</v>
      </c>
      <c r="O511" t="s">
        <v>74</v>
      </c>
      <c r="P511" t="s">
        <v>74</v>
      </c>
      <c r="Q511" t="s">
        <v>74</v>
      </c>
      <c r="R511" t="s">
        <v>74</v>
      </c>
      <c r="S511" t="s">
        <v>74</v>
      </c>
      <c r="T511" t="s">
        <v>6994</v>
      </c>
      <c r="U511" t="s">
        <v>6995</v>
      </c>
      <c r="V511" t="s">
        <v>6996</v>
      </c>
      <c r="W511" t="s">
        <v>833</v>
      </c>
      <c r="X511" t="s">
        <v>221</v>
      </c>
      <c r="Y511" t="s">
        <v>6997</v>
      </c>
      <c r="Z511" t="s">
        <v>74</v>
      </c>
      <c r="AA511" t="s">
        <v>6998</v>
      </c>
      <c r="AB511" t="s">
        <v>74</v>
      </c>
      <c r="AC511" t="s">
        <v>74</v>
      </c>
      <c r="AD511" t="s">
        <v>74</v>
      </c>
      <c r="AE511" t="s">
        <v>74</v>
      </c>
      <c r="AF511" t="s">
        <v>74</v>
      </c>
      <c r="AG511">
        <v>95</v>
      </c>
      <c r="AH511">
        <v>126</v>
      </c>
      <c r="AI511">
        <v>135</v>
      </c>
      <c r="AJ511">
        <v>0</v>
      </c>
      <c r="AK511">
        <v>7</v>
      </c>
      <c r="AL511" t="s">
        <v>6999</v>
      </c>
      <c r="AM511" t="s">
        <v>7000</v>
      </c>
      <c r="AN511" t="s">
        <v>7001</v>
      </c>
      <c r="AO511" t="s">
        <v>7002</v>
      </c>
      <c r="AP511" t="s">
        <v>74</v>
      </c>
      <c r="AQ511" t="s">
        <v>74</v>
      </c>
      <c r="AR511" t="s">
        <v>7003</v>
      </c>
      <c r="AS511" t="s">
        <v>7004</v>
      </c>
      <c r="AT511" t="s">
        <v>6395</v>
      </c>
      <c r="AU511">
        <v>2000</v>
      </c>
      <c r="AV511">
        <v>157</v>
      </c>
      <c r="AW511" t="s">
        <v>74</v>
      </c>
      <c r="AX511">
        <v>6</v>
      </c>
      <c r="AY511" t="s">
        <v>74</v>
      </c>
      <c r="AZ511" t="s">
        <v>74</v>
      </c>
      <c r="BA511" t="s">
        <v>74</v>
      </c>
      <c r="BB511">
        <v>1243</v>
      </c>
      <c r="BC511">
        <v>1256</v>
      </c>
      <c r="BD511" t="s">
        <v>74</v>
      </c>
      <c r="BE511" t="s">
        <v>7005</v>
      </c>
      <c r="BF511" t="str">
        <f>HYPERLINK("http://dx.doi.org/10.1144/jgs.157.6.1243","http://dx.doi.org/10.1144/jgs.157.6.1243")</f>
        <v>http://dx.doi.org/10.1144/jgs.157.6.1243</v>
      </c>
      <c r="BG511" t="s">
        <v>74</v>
      </c>
      <c r="BH511" t="s">
        <v>74</v>
      </c>
      <c r="BI511">
        <v>14</v>
      </c>
      <c r="BJ511" t="s">
        <v>595</v>
      </c>
      <c r="BK511" t="s">
        <v>94</v>
      </c>
      <c r="BL511" t="s">
        <v>597</v>
      </c>
      <c r="BM511" t="s">
        <v>7006</v>
      </c>
      <c r="BN511" t="s">
        <v>74</v>
      </c>
      <c r="BO511" t="s">
        <v>74</v>
      </c>
      <c r="BP511" t="s">
        <v>74</v>
      </c>
      <c r="BQ511" t="s">
        <v>74</v>
      </c>
      <c r="BR511" t="s">
        <v>97</v>
      </c>
      <c r="BS511" t="s">
        <v>7007</v>
      </c>
      <c r="BT511" t="str">
        <f>HYPERLINK("https%3A%2F%2Fwww.webofscience.com%2Fwos%2Fwoscc%2Ffull-record%2FWOS:000165182200016","View Full Record in Web of Science")</f>
        <v>View Full Record in Web of Science</v>
      </c>
    </row>
    <row r="512" spans="1:72" x14ac:dyDescent="0.15">
      <c r="A512" t="s">
        <v>72</v>
      </c>
      <c r="B512" t="s">
        <v>7008</v>
      </c>
      <c r="C512" t="s">
        <v>74</v>
      </c>
      <c r="D512" t="s">
        <v>74</v>
      </c>
      <c r="E512" t="s">
        <v>74</v>
      </c>
      <c r="F512" t="s">
        <v>7008</v>
      </c>
      <c r="G512" t="s">
        <v>74</v>
      </c>
      <c r="H512" t="s">
        <v>74</v>
      </c>
      <c r="I512" t="s">
        <v>7009</v>
      </c>
      <c r="J512" t="s">
        <v>7010</v>
      </c>
      <c r="K512" t="s">
        <v>74</v>
      </c>
      <c r="L512" t="s">
        <v>74</v>
      </c>
      <c r="M512" t="s">
        <v>77</v>
      </c>
      <c r="N512" t="s">
        <v>78</v>
      </c>
      <c r="O512" t="s">
        <v>74</v>
      </c>
      <c r="P512" t="s">
        <v>74</v>
      </c>
      <c r="Q512" t="s">
        <v>74</v>
      </c>
      <c r="R512" t="s">
        <v>74</v>
      </c>
      <c r="S512" t="s">
        <v>74</v>
      </c>
      <c r="T512" t="s">
        <v>74</v>
      </c>
      <c r="U512" t="s">
        <v>7011</v>
      </c>
      <c r="V512" t="s">
        <v>7012</v>
      </c>
      <c r="W512" t="s">
        <v>7013</v>
      </c>
      <c r="X512" t="s">
        <v>639</v>
      </c>
      <c r="Y512" t="s">
        <v>7014</v>
      </c>
      <c r="Z512" t="s">
        <v>74</v>
      </c>
      <c r="AA512" t="s">
        <v>7015</v>
      </c>
      <c r="AB512" t="s">
        <v>7016</v>
      </c>
      <c r="AC512" t="s">
        <v>74</v>
      </c>
      <c r="AD512" t="s">
        <v>74</v>
      </c>
      <c r="AE512" t="s">
        <v>74</v>
      </c>
      <c r="AF512" t="s">
        <v>74</v>
      </c>
      <c r="AG512">
        <v>39</v>
      </c>
      <c r="AH512">
        <v>104</v>
      </c>
      <c r="AI512">
        <v>110</v>
      </c>
      <c r="AJ512">
        <v>1</v>
      </c>
      <c r="AK512">
        <v>33</v>
      </c>
      <c r="AL512" t="s">
        <v>7017</v>
      </c>
      <c r="AM512" t="s">
        <v>7018</v>
      </c>
      <c r="AN512" t="s">
        <v>7019</v>
      </c>
      <c r="AO512" t="s">
        <v>7020</v>
      </c>
      <c r="AP512" t="s">
        <v>74</v>
      </c>
      <c r="AQ512" t="s">
        <v>74</v>
      </c>
      <c r="AR512" t="s">
        <v>7021</v>
      </c>
      <c r="AS512" t="s">
        <v>7022</v>
      </c>
      <c r="AT512" t="s">
        <v>6395</v>
      </c>
      <c r="AU512">
        <v>2000</v>
      </c>
      <c r="AV512">
        <v>45</v>
      </c>
      <c r="AW512">
        <v>7</v>
      </c>
      <c r="AX512" t="s">
        <v>74</v>
      </c>
      <c r="AY512" t="s">
        <v>74</v>
      </c>
      <c r="AZ512" t="s">
        <v>74</v>
      </c>
      <c r="BA512" t="s">
        <v>74</v>
      </c>
      <c r="BB512">
        <v>1517</v>
      </c>
      <c r="BC512">
        <v>1524</v>
      </c>
      <c r="BD512" t="s">
        <v>74</v>
      </c>
      <c r="BE512" t="s">
        <v>7023</v>
      </c>
      <c r="BF512" t="str">
        <f>HYPERLINK("http://dx.doi.org/10.4319/lo.2000.45.7.1517","http://dx.doi.org/10.4319/lo.2000.45.7.1517")</f>
        <v>http://dx.doi.org/10.4319/lo.2000.45.7.1517</v>
      </c>
      <c r="BG512" t="s">
        <v>74</v>
      </c>
      <c r="BH512" t="s">
        <v>74</v>
      </c>
      <c r="BI512">
        <v>8</v>
      </c>
      <c r="BJ512" t="s">
        <v>7024</v>
      </c>
      <c r="BK512" t="s">
        <v>94</v>
      </c>
      <c r="BL512" t="s">
        <v>7025</v>
      </c>
      <c r="BM512" t="s">
        <v>7026</v>
      </c>
      <c r="BN512" t="s">
        <v>74</v>
      </c>
      <c r="BO512" t="s">
        <v>1755</v>
      </c>
      <c r="BP512" t="s">
        <v>74</v>
      </c>
      <c r="BQ512" t="s">
        <v>74</v>
      </c>
      <c r="BR512" t="s">
        <v>97</v>
      </c>
      <c r="BS512" t="s">
        <v>7027</v>
      </c>
      <c r="BT512" t="str">
        <f>HYPERLINK("https%3A%2F%2Fwww.webofscience.com%2Fwos%2Fwoscc%2Ffull-record%2FWOS:000165267100006","View Full Record in Web of Science")</f>
        <v>View Full Record in Web of Science</v>
      </c>
    </row>
    <row r="513" spans="1:72" x14ac:dyDescent="0.15">
      <c r="A513" t="s">
        <v>72</v>
      </c>
      <c r="B513" t="s">
        <v>7028</v>
      </c>
      <c r="C513" t="s">
        <v>74</v>
      </c>
      <c r="D513" t="s">
        <v>74</v>
      </c>
      <c r="E513" t="s">
        <v>74</v>
      </c>
      <c r="F513" t="s">
        <v>7028</v>
      </c>
      <c r="G513" t="s">
        <v>74</v>
      </c>
      <c r="H513" t="s">
        <v>74</v>
      </c>
      <c r="I513" t="s">
        <v>7029</v>
      </c>
      <c r="J513" t="s">
        <v>2768</v>
      </c>
      <c r="K513" t="s">
        <v>74</v>
      </c>
      <c r="L513" t="s">
        <v>74</v>
      </c>
      <c r="M513" t="s">
        <v>77</v>
      </c>
      <c r="N513" t="s">
        <v>78</v>
      </c>
      <c r="O513" t="s">
        <v>74</v>
      </c>
      <c r="P513" t="s">
        <v>74</v>
      </c>
      <c r="Q513" t="s">
        <v>74</v>
      </c>
      <c r="R513" t="s">
        <v>74</v>
      </c>
      <c r="S513" t="s">
        <v>74</v>
      </c>
      <c r="T513" t="s">
        <v>74</v>
      </c>
      <c r="U513" t="s">
        <v>7030</v>
      </c>
      <c r="V513" t="s">
        <v>7031</v>
      </c>
      <c r="W513" t="s">
        <v>7032</v>
      </c>
      <c r="X513" t="s">
        <v>3113</v>
      </c>
      <c r="Y513" t="s">
        <v>7033</v>
      </c>
      <c r="Z513" t="s">
        <v>7034</v>
      </c>
      <c r="AA513" t="s">
        <v>74</v>
      </c>
      <c r="AB513" t="s">
        <v>74</v>
      </c>
      <c r="AC513" t="s">
        <v>74</v>
      </c>
      <c r="AD513" t="s">
        <v>74</v>
      </c>
      <c r="AE513" t="s">
        <v>74</v>
      </c>
      <c r="AF513" t="s">
        <v>74</v>
      </c>
      <c r="AG513">
        <v>39</v>
      </c>
      <c r="AH513">
        <v>14</v>
      </c>
      <c r="AI513">
        <v>18</v>
      </c>
      <c r="AJ513">
        <v>0</v>
      </c>
      <c r="AK513">
        <v>2</v>
      </c>
      <c r="AL513" t="s">
        <v>776</v>
      </c>
      <c r="AM513" t="s">
        <v>777</v>
      </c>
      <c r="AN513" t="s">
        <v>778</v>
      </c>
      <c r="AO513" t="s">
        <v>2772</v>
      </c>
      <c r="AP513" t="s">
        <v>2773</v>
      </c>
      <c r="AQ513" t="s">
        <v>74</v>
      </c>
      <c r="AR513" t="s">
        <v>2774</v>
      </c>
      <c r="AS513" t="s">
        <v>2775</v>
      </c>
      <c r="AT513" t="s">
        <v>6395</v>
      </c>
      <c r="AU513">
        <v>2000</v>
      </c>
      <c r="AV513">
        <v>137</v>
      </c>
      <c r="AW513">
        <v>4</v>
      </c>
      <c r="AX513" t="s">
        <v>74</v>
      </c>
      <c r="AY513" t="s">
        <v>74</v>
      </c>
      <c r="AZ513" t="s">
        <v>74</v>
      </c>
      <c r="BA513" t="s">
        <v>74</v>
      </c>
      <c r="BB513">
        <v>631</v>
      </c>
      <c r="BC513">
        <v>636</v>
      </c>
      <c r="BD513" t="s">
        <v>74</v>
      </c>
      <c r="BE513" t="s">
        <v>7035</v>
      </c>
      <c r="BF513" t="str">
        <f>HYPERLINK("http://dx.doi.org/10.1007/s002270000383","http://dx.doi.org/10.1007/s002270000383")</f>
        <v>http://dx.doi.org/10.1007/s002270000383</v>
      </c>
      <c r="BG513" t="s">
        <v>74</v>
      </c>
      <c r="BH513" t="s">
        <v>74</v>
      </c>
      <c r="BI513">
        <v>6</v>
      </c>
      <c r="BJ513" t="s">
        <v>1259</v>
      </c>
      <c r="BK513" t="s">
        <v>94</v>
      </c>
      <c r="BL513" t="s">
        <v>1259</v>
      </c>
      <c r="BM513" t="s">
        <v>7036</v>
      </c>
      <c r="BN513" t="s">
        <v>74</v>
      </c>
      <c r="BO513" t="s">
        <v>74</v>
      </c>
      <c r="BP513" t="s">
        <v>74</v>
      </c>
      <c r="BQ513" t="s">
        <v>74</v>
      </c>
      <c r="BR513" t="s">
        <v>97</v>
      </c>
      <c r="BS513" t="s">
        <v>7037</v>
      </c>
      <c r="BT513" t="str">
        <f>HYPERLINK("https%3A%2F%2Fwww.webofscience.com%2Fwos%2Fwoscc%2Ffull-record%2FWOS:000165440400009","View Full Record in Web of Science")</f>
        <v>View Full Record in Web of Science</v>
      </c>
    </row>
    <row r="514" spans="1:72" x14ac:dyDescent="0.15">
      <c r="A514" t="s">
        <v>72</v>
      </c>
      <c r="B514" t="s">
        <v>7038</v>
      </c>
      <c r="C514" t="s">
        <v>74</v>
      </c>
      <c r="D514" t="s">
        <v>74</v>
      </c>
      <c r="E514" t="s">
        <v>74</v>
      </c>
      <c r="F514" t="s">
        <v>7038</v>
      </c>
      <c r="G514" t="s">
        <v>74</v>
      </c>
      <c r="H514" t="s">
        <v>74</v>
      </c>
      <c r="I514" t="s">
        <v>7039</v>
      </c>
      <c r="J514" t="s">
        <v>7040</v>
      </c>
      <c r="K514" t="s">
        <v>74</v>
      </c>
      <c r="L514" t="s">
        <v>74</v>
      </c>
      <c r="M514" t="s">
        <v>77</v>
      </c>
      <c r="N514" t="s">
        <v>78</v>
      </c>
      <c r="O514" t="s">
        <v>74</v>
      </c>
      <c r="P514" t="s">
        <v>74</v>
      </c>
      <c r="Q514" t="s">
        <v>74</v>
      </c>
      <c r="R514" t="s">
        <v>74</v>
      </c>
      <c r="S514" t="s">
        <v>74</v>
      </c>
      <c r="T514" t="s">
        <v>7041</v>
      </c>
      <c r="U514" t="s">
        <v>7042</v>
      </c>
      <c r="V514" t="s">
        <v>7043</v>
      </c>
      <c r="W514" t="s">
        <v>7044</v>
      </c>
      <c r="X514" t="s">
        <v>7045</v>
      </c>
      <c r="Y514" t="s">
        <v>7046</v>
      </c>
      <c r="Z514" t="s">
        <v>74</v>
      </c>
      <c r="AA514" t="s">
        <v>7047</v>
      </c>
      <c r="AB514" t="s">
        <v>7048</v>
      </c>
      <c r="AC514" t="s">
        <v>74</v>
      </c>
      <c r="AD514" t="s">
        <v>74</v>
      </c>
      <c r="AE514" t="s">
        <v>74</v>
      </c>
      <c r="AF514" t="s">
        <v>74</v>
      </c>
      <c r="AG514">
        <v>52</v>
      </c>
      <c r="AH514">
        <v>22</v>
      </c>
      <c r="AI514">
        <v>27</v>
      </c>
      <c r="AJ514">
        <v>0</v>
      </c>
      <c r="AK514">
        <v>2</v>
      </c>
      <c r="AL514" t="s">
        <v>7049</v>
      </c>
      <c r="AM514" t="s">
        <v>5031</v>
      </c>
      <c r="AN514" t="s">
        <v>7050</v>
      </c>
      <c r="AO514" t="s">
        <v>7051</v>
      </c>
      <c r="AP514" t="s">
        <v>74</v>
      </c>
      <c r="AQ514" t="s">
        <v>74</v>
      </c>
      <c r="AR514" t="s">
        <v>7052</v>
      </c>
      <c r="AS514" t="s">
        <v>7053</v>
      </c>
      <c r="AT514" t="s">
        <v>6395</v>
      </c>
      <c r="AU514">
        <v>2000</v>
      </c>
      <c r="AV514">
        <v>17</v>
      </c>
      <c r="AW514">
        <v>11</v>
      </c>
      <c r="AX514" t="s">
        <v>74</v>
      </c>
      <c r="AY514" t="s">
        <v>74</v>
      </c>
      <c r="AZ514" t="s">
        <v>74</v>
      </c>
      <c r="BA514" t="s">
        <v>74</v>
      </c>
      <c r="BB514">
        <v>1626</v>
      </c>
      <c r="BC514">
        <v>1640</v>
      </c>
      <c r="BD514" t="s">
        <v>74</v>
      </c>
      <c r="BE514" t="s">
        <v>7054</v>
      </c>
      <c r="BF514" t="str">
        <f>HYPERLINK("http://dx.doi.org/10.1093/oxfordjournals.molbev.a026262","http://dx.doi.org/10.1093/oxfordjournals.molbev.a026262")</f>
        <v>http://dx.doi.org/10.1093/oxfordjournals.molbev.a026262</v>
      </c>
      <c r="BG514" t="s">
        <v>74</v>
      </c>
      <c r="BH514" t="s">
        <v>74</v>
      </c>
      <c r="BI514">
        <v>15</v>
      </c>
      <c r="BJ514" t="s">
        <v>7055</v>
      </c>
      <c r="BK514" t="s">
        <v>94</v>
      </c>
      <c r="BL514" t="s">
        <v>7055</v>
      </c>
      <c r="BM514" t="s">
        <v>7056</v>
      </c>
      <c r="BN514">
        <v>11070051</v>
      </c>
      <c r="BO514" t="s">
        <v>1755</v>
      </c>
      <c r="BP514" t="s">
        <v>74</v>
      </c>
      <c r="BQ514" t="s">
        <v>74</v>
      </c>
      <c r="BR514" t="s">
        <v>97</v>
      </c>
      <c r="BS514" t="s">
        <v>7057</v>
      </c>
      <c r="BT514" t="str">
        <f>HYPERLINK("https%3A%2F%2Fwww.webofscience.com%2Fwos%2Fwoscc%2Ffull-record%2FWOS:000165163000006","View Full Record in Web of Science")</f>
        <v>View Full Record in Web of Science</v>
      </c>
    </row>
    <row r="515" spans="1:72" x14ac:dyDescent="0.15">
      <c r="A515" t="s">
        <v>72</v>
      </c>
      <c r="B515" t="s">
        <v>7058</v>
      </c>
      <c r="C515" t="s">
        <v>74</v>
      </c>
      <c r="D515" t="s">
        <v>74</v>
      </c>
      <c r="E515" t="s">
        <v>74</v>
      </c>
      <c r="F515" t="s">
        <v>7058</v>
      </c>
      <c r="G515" t="s">
        <v>74</v>
      </c>
      <c r="H515" t="s">
        <v>74</v>
      </c>
      <c r="I515" t="s">
        <v>7059</v>
      </c>
      <c r="J515" t="s">
        <v>7060</v>
      </c>
      <c r="K515" t="s">
        <v>74</v>
      </c>
      <c r="L515" t="s">
        <v>74</v>
      </c>
      <c r="M515" t="s">
        <v>77</v>
      </c>
      <c r="N515" t="s">
        <v>78</v>
      </c>
      <c r="O515" t="s">
        <v>74</v>
      </c>
      <c r="P515" t="s">
        <v>74</v>
      </c>
      <c r="Q515" t="s">
        <v>74</v>
      </c>
      <c r="R515" t="s">
        <v>74</v>
      </c>
      <c r="S515" t="s">
        <v>74</v>
      </c>
      <c r="T515" t="s">
        <v>74</v>
      </c>
      <c r="U515" t="s">
        <v>7061</v>
      </c>
      <c r="V515" t="s">
        <v>7062</v>
      </c>
      <c r="W515" t="s">
        <v>7063</v>
      </c>
      <c r="X515" t="s">
        <v>7064</v>
      </c>
      <c r="Y515" t="s">
        <v>7065</v>
      </c>
      <c r="Z515" t="s">
        <v>74</v>
      </c>
      <c r="AA515" t="s">
        <v>7066</v>
      </c>
      <c r="AB515" t="s">
        <v>7067</v>
      </c>
      <c r="AC515" t="s">
        <v>74</v>
      </c>
      <c r="AD515" t="s">
        <v>74</v>
      </c>
      <c r="AE515" t="s">
        <v>74</v>
      </c>
      <c r="AF515" t="s">
        <v>74</v>
      </c>
      <c r="AG515">
        <v>36</v>
      </c>
      <c r="AH515">
        <v>33</v>
      </c>
      <c r="AI515">
        <v>35</v>
      </c>
      <c r="AJ515">
        <v>1</v>
      </c>
      <c r="AK515">
        <v>2</v>
      </c>
      <c r="AL515" t="s">
        <v>1007</v>
      </c>
      <c r="AM515" t="s">
        <v>160</v>
      </c>
      <c r="AN515" t="s">
        <v>1008</v>
      </c>
      <c r="AO515" t="s">
        <v>7068</v>
      </c>
      <c r="AP515" t="s">
        <v>7069</v>
      </c>
      <c r="AQ515" t="s">
        <v>74</v>
      </c>
      <c r="AR515" t="s">
        <v>7070</v>
      </c>
      <c r="AS515" t="s">
        <v>7071</v>
      </c>
      <c r="AT515" t="s">
        <v>6652</v>
      </c>
      <c r="AU515">
        <v>2000</v>
      </c>
      <c r="AV515">
        <v>40</v>
      </c>
      <c r="AW515">
        <v>6</v>
      </c>
      <c r="AX515" t="s">
        <v>74</v>
      </c>
      <c r="AY515" t="s">
        <v>74</v>
      </c>
      <c r="AZ515" t="s">
        <v>74</v>
      </c>
      <c r="BA515" t="s">
        <v>74</v>
      </c>
      <c r="BB515">
        <v>801</v>
      </c>
      <c r="BC515">
        <v>808</v>
      </c>
      <c r="BD515" t="s">
        <v>74</v>
      </c>
      <c r="BE515" t="s">
        <v>74</v>
      </c>
      <c r="BF515" t="s">
        <v>74</v>
      </c>
      <c r="BG515" t="s">
        <v>74</v>
      </c>
      <c r="BH515" t="s">
        <v>74</v>
      </c>
      <c r="BI515">
        <v>8</v>
      </c>
      <c r="BJ515" t="s">
        <v>252</v>
      </c>
      <c r="BK515" t="s">
        <v>94</v>
      </c>
      <c r="BL515" t="s">
        <v>252</v>
      </c>
      <c r="BM515" t="s">
        <v>7072</v>
      </c>
      <c r="BN515" t="s">
        <v>74</v>
      </c>
      <c r="BO515" t="s">
        <v>74</v>
      </c>
      <c r="BP515" t="s">
        <v>74</v>
      </c>
      <c r="BQ515" t="s">
        <v>74</v>
      </c>
      <c r="BR515" t="s">
        <v>97</v>
      </c>
      <c r="BS515" t="s">
        <v>7073</v>
      </c>
      <c r="BT515" t="str">
        <f>HYPERLINK("https%3A%2F%2Fwww.webofscience.com%2Fwos%2Fwoscc%2Ffull-record%2FWOS:000166120600007","View Full Record in Web of Science")</f>
        <v>View Full Record in Web of Science</v>
      </c>
    </row>
    <row r="516" spans="1:72" x14ac:dyDescent="0.15">
      <c r="A516" t="s">
        <v>72</v>
      </c>
      <c r="B516" t="s">
        <v>7074</v>
      </c>
      <c r="C516" t="s">
        <v>74</v>
      </c>
      <c r="D516" t="s">
        <v>74</v>
      </c>
      <c r="E516" t="s">
        <v>74</v>
      </c>
      <c r="F516" t="s">
        <v>7074</v>
      </c>
      <c r="G516" t="s">
        <v>74</v>
      </c>
      <c r="H516" t="s">
        <v>74</v>
      </c>
      <c r="I516" t="s">
        <v>7075</v>
      </c>
      <c r="J516" t="s">
        <v>7076</v>
      </c>
      <c r="K516" t="s">
        <v>74</v>
      </c>
      <c r="L516" t="s">
        <v>74</v>
      </c>
      <c r="M516" t="s">
        <v>77</v>
      </c>
      <c r="N516" t="s">
        <v>576</v>
      </c>
      <c r="O516" t="s">
        <v>7077</v>
      </c>
      <c r="P516" t="s">
        <v>7078</v>
      </c>
      <c r="Q516" t="s">
        <v>7079</v>
      </c>
      <c r="R516" t="s">
        <v>74</v>
      </c>
      <c r="S516" t="s">
        <v>74</v>
      </c>
      <c r="T516" t="s">
        <v>7080</v>
      </c>
      <c r="U516" t="s">
        <v>7081</v>
      </c>
      <c r="V516" t="s">
        <v>7082</v>
      </c>
      <c r="W516" t="s">
        <v>7083</v>
      </c>
      <c r="X516" t="s">
        <v>7084</v>
      </c>
      <c r="Y516" t="s">
        <v>7085</v>
      </c>
      <c r="Z516" t="s">
        <v>74</v>
      </c>
      <c r="AA516" t="s">
        <v>7086</v>
      </c>
      <c r="AB516" t="s">
        <v>7087</v>
      </c>
      <c r="AC516" t="s">
        <v>74</v>
      </c>
      <c r="AD516" t="s">
        <v>74</v>
      </c>
      <c r="AE516" t="s">
        <v>74</v>
      </c>
      <c r="AF516" t="s">
        <v>74</v>
      </c>
      <c r="AG516">
        <v>24</v>
      </c>
      <c r="AH516">
        <v>33</v>
      </c>
      <c r="AI516">
        <v>37</v>
      </c>
      <c r="AJ516">
        <v>0</v>
      </c>
      <c r="AK516">
        <v>8</v>
      </c>
      <c r="AL516" t="s">
        <v>1120</v>
      </c>
      <c r="AM516" t="s">
        <v>1121</v>
      </c>
      <c r="AN516" t="s">
        <v>2394</v>
      </c>
      <c r="AO516" t="s">
        <v>7088</v>
      </c>
      <c r="AP516" t="s">
        <v>74</v>
      </c>
      <c r="AQ516" t="s">
        <v>74</v>
      </c>
      <c r="AR516" t="s">
        <v>7089</v>
      </c>
      <c r="AS516" t="s">
        <v>7090</v>
      </c>
      <c r="AT516" t="s">
        <v>6395</v>
      </c>
      <c r="AU516">
        <v>2000</v>
      </c>
      <c r="AV516">
        <v>122</v>
      </c>
      <c r="AW516" t="s">
        <v>870</v>
      </c>
      <c r="AX516" t="s">
        <v>74</v>
      </c>
      <c r="AY516" t="s">
        <v>74</v>
      </c>
      <c r="AZ516" t="s">
        <v>2736</v>
      </c>
      <c r="BA516" t="s">
        <v>74</v>
      </c>
      <c r="BB516">
        <v>55</v>
      </c>
      <c r="BC516">
        <v>66</v>
      </c>
      <c r="BD516" t="s">
        <v>74</v>
      </c>
      <c r="BE516" t="s">
        <v>7091</v>
      </c>
      <c r="BF516" t="str">
        <f>HYPERLINK("http://dx.doi.org/10.1016/S0031-9201(00)00186-2","http://dx.doi.org/10.1016/S0031-9201(00)00186-2")</f>
        <v>http://dx.doi.org/10.1016/S0031-9201(00)00186-2</v>
      </c>
      <c r="BG516" t="s">
        <v>74</v>
      </c>
      <c r="BH516" t="s">
        <v>74</v>
      </c>
      <c r="BI516">
        <v>12</v>
      </c>
      <c r="BJ516" t="s">
        <v>953</v>
      </c>
      <c r="BK516" t="s">
        <v>596</v>
      </c>
      <c r="BL516" t="s">
        <v>953</v>
      </c>
      <c r="BM516" t="s">
        <v>7092</v>
      </c>
      <c r="BN516" t="s">
        <v>74</v>
      </c>
      <c r="BO516" t="s">
        <v>74</v>
      </c>
      <c r="BP516" t="s">
        <v>74</v>
      </c>
      <c r="BQ516" t="s">
        <v>74</v>
      </c>
      <c r="BR516" t="s">
        <v>97</v>
      </c>
      <c r="BS516" t="s">
        <v>7093</v>
      </c>
      <c r="BT516" t="str">
        <f>HYPERLINK("https%3A%2F%2Fwww.webofscience.com%2Fwos%2Fwoscc%2Ffull-record%2FWOS:000166231600005","View Full Record in Web of Science")</f>
        <v>View Full Record in Web of Science</v>
      </c>
    </row>
    <row r="517" spans="1:72" x14ac:dyDescent="0.15">
      <c r="A517" t="s">
        <v>72</v>
      </c>
      <c r="B517" t="s">
        <v>7094</v>
      </c>
      <c r="C517" t="s">
        <v>74</v>
      </c>
      <c r="D517" t="s">
        <v>74</v>
      </c>
      <c r="E517" t="s">
        <v>74</v>
      </c>
      <c r="F517" t="s">
        <v>7094</v>
      </c>
      <c r="G517" t="s">
        <v>74</v>
      </c>
      <c r="H517" t="s">
        <v>74</v>
      </c>
      <c r="I517" t="s">
        <v>7095</v>
      </c>
      <c r="J517" t="s">
        <v>7096</v>
      </c>
      <c r="K517" t="s">
        <v>74</v>
      </c>
      <c r="L517" t="s">
        <v>74</v>
      </c>
      <c r="M517" t="s">
        <v>77</v>
      </c>
      <c r="N517" t="s">
        <v>78</v>
      </c>
      <c r="O517" t="s">
        <v>74</v>
      </c>
      <c r="P517" t="s">
        <v>74</v>
      </c>
      <c r="Q517" t="s">
        <v>74</v>
      </c>
      <c r="R517" t="s">
        <v>74</v>
      </c>
      <c r="S517" t="s">
        <v>74</v>
      </c>
      <c r="T517" t="s">
        <v>74</v>
      </c>
      <c r="U517" t="s">
        <v>7097</v>
      </c>
      <c r="V517" t="s">
        <v>7098</v>
      </c>
      <c r="W517" t="s">
        <v>7099</v>
      </c>
      <c r="X517" t="s">
        <v>1224</v>
      </c>
      <c r="Y517" t="s">
        <v>7100</v>
      </c>
      <c r="Z517" t="s">
        <v>74</v>
      </c>
      <c r="AA517" t="s">
        <v>7101</v>
      </c>
      <c r="AB517" t="s">
        <v>7102</v>
      </c>
      <c r="AC517" t="s">
        <v>74</v>
      </c>
      <c r="AD517" t="s">
        <v>74</v>
      </c>
      <c r="AE517" t="s">
        <v>74</v>
      </c>
      <c r="AF517" t="s">
        <v>74</v>
      </c>
      <c r="AG517">
        <v>37</v>
      </c>
      <c r="AH517">
        <v>35</v>
      </c>
      <c r="AI517">
        <v>40</v>
      </c>
      <c r="AJ517">
        <v>0</v>
      </c>
      <c r="AK517">
        <v>17</v>
      </c>
      <c r="AL517" t="s">
        <v>2132</v>
      </c>
      <c r="AM517" t="s">
        <v>2133</v>
      </c>
      <c r="AN517" t="s">
        <v>2134</v>
      </c>
      <c r="AO517" t="s">
        <v>7103</v>
      </c>
      <c r="AP517" t="s">
        <v>74</v>
      </c>
      <c r="AQ517" t="s">
        <v>74</v>
      </c>
      <c r="AR517" t="s">
        <v>7104</v>
      </c>
      <c r="AS517" t="s">
        <v>7105</v>
      </c>
      <c r="AT517" t="s">
        <v>6652</v>
      </c>
      <c r="AU517">
        <v>2000</v>
      </c>
      <c r="AV517">
        <v>73</v>
      </c>
      <c r="AW517">
        <v>6</v>
      </c>
      <c r="AX517" t="s">
        <v>74</v>
      </c>
      <c r="AY517" t="s">
        <v>74</v>
      </c>
      <c r="AZ517" t="s">
        <v>74</v>
      </c>
      <c r="BA517" t="s">
        <v>74</v>
      </c>
      <c r="BB517">
        <v>790</v>
      </c>
      <c r="BC517">
        <v>798</v>
      </c>
      <c r="BD517" t="s">
        <v>74</v>
      </c>
      <c r="BE517" t="s">
        <v>7106</v>
      </c>
      <c r="BF517" t="str">
        <f>HYPERLINK("http://dx.doi.org/10.1086/318104","http://dx.doi.org/10.1086/318104")</f>
        <v>http://dx.doi.org/10.1086/318104</v>
      </c>
      <c r="BG517" t="s">
        <v>74</v>
      </c>
      <c r="BH517" t="s">
        <v>74</v>
      </c>
      <c r="BI517">
        <v>9</v>
      </c>
      <c r="BJ517" t="s">
        <v>5497</v>
      </c>
      <c r="BK517" t="s">
        <v>94</v>
      </c>
      <c r="BL517" t="s">
        <v>5497</v>
      </c>
      <c r="BM517" t="s">
        <v>7107</v>
      </c>
      <c r="BN517">
        <v>11121352</v>
      </c>
      <c r="BO517" t="s">
        <v>74</v>
      </c>
      <c r="BP517" t="s">
        <v>74</v>
      </c>
      <c r="BQ517" t="s">
        <v>74</v>
      </c>
      <c r="BR517" t="s">
        <v>97</v>
      </c>
      <c r="BS517" t="s">
        <v>7108</v>
      </c>
      <c r="BT517" t="str">
        <f>HYPERLINK("https%3A%2F%2Fwww.webofscience.com%2Fwos%2Fwoscc%2Ffull-record%2FWOS:000166172300014","View Full Record in Web of Science")</f>
        <v>View Full Record in Web of Science</v>
      </c>
    </row>
    <row r="518" spans="1:72" x14ac:dyDescent="0.15">
      <c r="A518" t="s">
        <v>72</v>
      </c>
      <c r="B518" t="s">
        <v>7109</v>
      </c>
      <c r="C518" t="s">
        <v>74</v>
      </c>
      <c r="D518" t="s">
        <v>74</v>
      </c>
      <c r="E518" t="s">
        <v>74</v>
      </c>
      <c r="F518" t="s">
        <v>7109</v>
      </c>
      <c r="G518" t="s">
        <v>74</v>
      </c>
      <c r="H518" t="s">
        <v>74</v>
      </c>
      <c r="I518" t="s">
        <v>7110</v>
      </c>
      <c r="J518" t="s">
        <v>3842</v>
      </c>
      <c r="K518" t="s">
        <v>74</v>
      </c>
      <c r="L518" t="s">
        <v>74</v>
      </c>
      <c r="M518" t="s">
        <v>77</v>
      </c>
      <c r="N518" t="s">
        <v>78</v>
      </c>
      <c r="O518" t="s">
        <v>74</v>
      </c>
      <c r="P518" t="s">
        <v>74</v>
      </c>
      <c r="Q518" t="s">
        <v>74</v>
      </c>
      <c r="R518" t="s">
        <v>74</v>
      </c>
      <c r="S518" t="s">
        <v>74</v>
      </c>
      <c r="T518" t="s">
        <v>74</v>
      </c>
      <c r="U518" t="s">
        <v>7111</v>
      </c>
      <c r="V518" t="s">
        <v>7112</v>
      </c>
      <c r="W518" t="s">
        <v>7113</v>
      </c>
      <c r="X518" t="s">
        <v>7114</v>
      </c>
      <c r="Y518" t="s">
        <v>7115</v>
      </c>
      <c r="Z518" t="s">
        <v>74</v>
      </c>
      <c r="AA518" t="s">
        <v>7116</v>
      </c>
      <c r="AB518" t="s">
        <v>7117</v>
      </c>
      <c r="AC518" t="s">
        <v>74</v>
      </c>
      <c r="AD518" t="s">
        <v>74</v>
      </c>
      <c r="AE518" t="s">
        <v>74</v>
      </c>
      <c r="AF518" t="s">
        <v>74</v>
      </c>
      <c r="AG518">
        <v>58</v>
      </c>
      <c r="AH518">
        <v>44</v>
      </c>
      <c r="AI518">
        <v>49</v>
      </c>
      <c r="AJ518">
        <v>1</v>
      </c>
      <c r="AK518">
        <v>10</v>
      </c>
      <c r="AL518" t="s">
        <v>159</v>
      </c>
      <c r="AM518" t="s">
        <v>160</v>
      </c>
      <c r="AN518" t="s">
        <v>161</v>
      </c>
      <c r="AO518" t="s">
        <v>3848</v>
      </c>
      <c r="AP518" t="s">
        <v>74</v>
      </c>
      <c r="AQ518" t="s">
        <v>74</v>
      </c>
      <c r="AR518" t="s">
        <v>3849</v>
      </c>
      <c r="AS518" t="s">
        <v>3850</v>
      </c>
      <c r="AT518" t="s">
        <v>6395</v>
      </c>
      <c r="AU518">
        <v>2000</v>
      </c>
      <c r="AV518">
        <v>23</v>
      </c>
      <c r="AW518">
        <v>11</v>
      </c>
      <c r="AX518" t="s">
        <v>74</v>
      </c>
      <c r="AY518" t="s">
        <v>74</v>
      </c>
      <c r="AZ518" t="s">
        <v>74</v>
      </c>
      <c r="BA518" t="s">
        <v>74</v>
      </c>
      <c r="BB518">
        <v>745</v>
      </c>
      <c r="BC518">
        <v>752</v>
      </c>
      <c r="BD518" t="s">
        <v>74</v>
      </c>
      <c r="BE518" t="s">
        <v>7118</v>
      </c>
      <c r="BF518" t="str">
        <f>HYPERLINK("http://dx.doi.org/10.1007/s003000000145","http://dx.doi.org/10.1007/s003000000145")</f>
        <v>http://dx.doi.org/10.1007/s003000000145</v>
      </c>
      <c r="BG518" t="s">
        <v>74</v>
      </c>
      <c r="BH518" t="s">
        <v>74</v>
      </c>
      <c r="BI518">
        <v>8</v>
      </c>
      <c r="BJ518" t="s">
        <v>3852</v>
      </c>
      <c r="BK518" t="s">
        <v>94</v>
      </c>
      <c r="BL518" t="s">
        <v>1103</v>
      </c>
      <c r="BM518" t="s">
        <v>7119</v>
      </c>
      <c r="BN518" t="s">
        <v>74</v>
      </c>
      <c r="BO518" t="s">
        <v>74</v>
      </c>
      <c r="BP518" t="s">
        <v>74</v>
      </c>
      <c r="BQ518" t="s">
        <v>74</v>
      </c>
      <c r="BR518" t="s">
        <v>97</v>
      </c>
      <c r="BS518" t="s">
        <v>7120</v>
      </c>
      <c r="BT518" t="str">
        <f>HYPERLINK("https%3A%2F%2Fwww.webofscience.com%2Fwos%2Fwoscc%2Ffull-record%2FWOS:000089927900002","View Full Record in Web of Science")</f>
        <v>View Full Record in Web of Science</v>
      </c>
    </row>
    <row r="519" spans="1:72" x14ac:dyDescent="0.15">
      <c r="A519" t="s">
        <v>72</v>
      </c>
      <c r="B519" t="s">
        <v>7121</v>
      </c>
      <c r="C519" t="s">
        <v>74</v>
      </c>
      <c r="D519" t="s">
        <v>74</v>
      </c>
      <c r="E519" t="s">
        <v>74</v>
      </c>
      <c r="F519" t="s">
        <v>7121</v>
      </c>
      <c r="G519" t="s">
        <v>74</v>
      </c>
      <c r="H519" t="s">
        <v>74</v>
      </c>
      <c r="I519" t="s">
        <v>7122</v>
      </c>
      <c r="J519" t="s">
        <v>3842</v>
      </c>
      <c r="K519" t="s">
        <v>74</v>
      </c>
      <c r="L519" t="s">
        <v>74</v>
      </c>
      <c r="M519" t="s">
        <v>77</v>
      </c>
      <c r="N519" t="s">
        <v>78</v>
      </c>
      <c r="O519" t="s">
        <v>74</v>
      </c>
      <c r="P519" t="s">
        <v>74</v>
      </c>
      <c r="Q519" t="s">
        <v>74</v>
      </c>
      <c r="R519" t="s">
        <v>74</v>
      </c>
      <c r="S519" t="s">
        <v>74</v>
      </c>
      <c r="T519" t="s">
        <v>74</v>
      </c>
      <c r="U519" t="s">
        <v>7123</v>
      </c>
      <c r="V519" t="s">
        <v>7124</v>
      </c>
      <c r="W519" t="s">
        <v>7125</v>
      </c>
      <c r="X519" t="s">
        <v>7126</v>
      </c>
      <c r="Y519" t="s">
        <v>7127</v>
      </c>
      <c r="Z519" t="s">
        <v>7128</v>
      </c>
      <c r="AA519" t="s">
        <v>7129</v>
      </c>
      <c r="AB519" t="s">
        <v>7130</v>
      </c>
      <c r="AC519" t="s">
        <v>74</v>
      </c>
      <c r="AD519" t="s">
        <v>74</v>
      </c>
      <c r="AE519" t="s">
        <v>74</v>
      </c>
      <c r="AF519" t="s">
        <v>74</v>
      </c>
      <c r="AG519">
        <v>33</v>
      </c>
      <c r="AH519">
        <v>17</v>
      </c>
      <c r="AI519">
        <v>18</v>
      </c>
      <c r="AJ519">
        <v>0</v>
      </c>
      <c r="AK519">
        <v>12</v>
      </c>
      <c r="AL519" t="s">
        <v>906</v>
      </c>
      <c r="AM519" t="s">
        <v>160</v>
      </c>
      <c r="AN519" t="s">
        <v>890</v>
      </c>
      <c r="AO519" t="s">
        <v>3848</v>
      </c>
      <c r="AP519" t="s">
        <v>3871</v>
      </c>
      <c r="AQ519" t="s">
        <v>74</v>
      </c>
      <c r="AR519" t="s">
        <v>3849</v>
      </c>
      <c r="AS519" t="s">
        <v>3850</v>
      </c>
      <c r="AT519" t="s">
        <v>6395</v>
      </c>
      <c r="AU519">
        <v>2000</v>
      </c>
      <c r="AV519">
        <v>23</v>
      </c>
      <c r="AW519">
        <v>11</v>
      </c>
      <c r="AX519" t="s">
        <v>74</v>
      </c>
      <c r="AY519" t="s">
        <v>74</v>
      </c>
      <c r="AZ519" t="s">
        <v>74</v>
      </c>
      <c r="BA519" t="s">
        <v>74</v>
      </c>
      <c r="BB519">
        <v>753</v>
      </c>
      <c r="BC519">
        <v>758</v>
      </c>
      <c r="BD519" t="s">
        <v>74</v>
      </c>
      <c r="BE519" t="s">
        <v>7131</v>
      </c>
      <c r="BF519" t="str">
        <f>HYPERLINK("http://dx.doi.org/10.1007/s003000000148","http://dx.doi.org/10.1007/s003000000148")</f>
        <v>http://dx.doi.org/10.1007/s003000000148</v>
      </c>
      <c r="BG519" t="s">
        <v>74</v>
      </c>
      <c r="BH519" t="s">
        <v>74</v>
      </c>
      <c r="BI519">
        <v>6</v>
      </c>
      <c r="BJ519" t="s">
        <v>3852</v>
      </c>
      <c r="BK519" t="s">
        <v>94</v>
      </c>
      <c r="BL519" t="s">
        <v>1103</v>
      </c>
      <c r="BM519" t="s">
        <v>7119</v>
      </c>
      <c r="BN519" t="s">
        <v>74</v>
      </c>
      <c r="BO519" t="s">
        <v>74</v>
      </c>
      <c r="BP519" t="s">
        <v>74</v>
      </c>
      <c r="BQ519" t="s">
        <v>74</v>
      </c>
      <c r="BR519" t="s">
        <v>97</v>
      </c>
      <c r="BS519" t="s">
        <v>7132</v>
      </c>
      <c r="BT519" t="str">
        <f>HYPERLINK("https%3A%2F%2Fwww.webofscience.com%2Fwos%2Fwoscc%2Ffull-record%2FWOS:000089927900003","View Full Record in Web of Science")</f>
        <v>View Full Record in Web of Science</v>
      </c>
    </row>
    <row r="520" spans="1:72" x14ac:dyDescent="0.15">
      <c r="A520" t="s">
        <v>72</v>
      </c>
      <c r="B520" t="s">
        <v>7133</v>
      </c>
      <c r="C520" t="s">
        <v>74</v>
      </c>
      <c r="D520" t="s">
        <v>74</v>
      </c>
      <c r="E520" t="s">
        <v>74</v>
      </c>
      <c r="F520" t="s">
        <v>7133</v>
      </c>
      <c r="G520" t="s">
        <v>74</v>
      </c>
      <c r="H520" t="s">
        <v>74</v>
      </c>
      <c r="I520" t="s">
        <v>7134</v>
      </c>
      <c r="J520" t="s">
        <v>3842</v>
      </c>
      <c r="K520" t="s">
        <v>74</v>
      </c>
      <c r="L520" t="s">
        <v>74</v>
      </c>
      <c r="M520" t="s">
        <v>77</v>
      </c>
      <c r="N520" t="s">
        <v>78</v>
      </c>
      <c r="O520" t="s">
        <v>74</v>
      </c>
      <c r="P520" t="s">
        <v>74</v>
      </c>
      <c r="Q520" t="s">
        <v>74</v>
      </c>
      <c r="R520" t="s">
        <v>74</v>
      </c>
      <c r="S520" t="s">
        <v>74</v>
      </c>
      <c r="T520" t="s">
        <v>74</v>
      </c>
      <c r="U520" t="s">
        <v>7135</v>
      </c>
      <c r="V520" t="s">
        <v>7136</v>
      </c>
      <c r="W520" t="s">
        <v>7137</v>
      </c>
      <c r="X520" t="s">
        <v>7138</v>
      </c>
      <c r="Y520" t="s">
        <v>7139</v>
      </c>
      <c r="Z520" t="s">
        <v>4039</v>
      </c>
      <c r="AA520" t="s">
        <v>4040</v>
      </c>
      <c r="AB520" t="s">
        <v>7140</v>
      </c>
      <c r="AC520" t="s">
        <v>74</v>
      </c>
      <c r="AD520" t="s">
        <v>74</v>
      </c>
      <c r="AE520" t="s">
        <v>74</v>
      </c>
      <c r="AF520" t="s">
        <v>74</v>
      </c>
      <c r="AG520">
        <v>41</v>
      </c>
      <c r="AH520">
        <v>10</v>
      </c>
      <c r="AI520">
        <v>10</v>
      </c>
      <c r="AJ520">
        <v>0</v>
      </c>
      <c r="AK520">
        <v>7</v>
      </c>
      <c r="AL520" t="s">
        <v>906</v>
      </c>
      <c r="AM520" t="s">
        <v>160</v>
      </c>
      <c r="AN520" t="s">
        <v>928</v>
      </c>
      <c r="AO520" t="s">
        <v>3848</v>
      </c>
      <c r="AP520" t="s">
        <v>3871</v>
      </c>
      <c r="AQ520" t="s">
        <v>74</v>
      </c>
      <c r="AR520" t="s">
        <v>3849</v>
      </c>
      <c r="AS520" t="s">
        <v>3850</v>
      </c>
      <c r="AT520" t="s">
        <v>6395</v>
      </c>
      <c r="AU520">
        <v>2000</v>
      </c>
      <c r="AV520">
        <v>23</v>
      </c>
      <c r="AW520">
        <v>11</v>
      </c>
      <c r="AX520" t="s">
        <v>74</v>
      </c>
      <c r="AY520" t="s">
        <v>74</v>
      </c>
      <c r="AZ520" t="s">
        <v>74</v>
      </c>
      <c r="BA520" t="s">
        <v>74</v>
      </c>
      <c r="BB520">
        <v>759</v>
      </c>
      <c r="BC520">
        <v>765</v>
      </c>
      <c r="BD520" t="s">
        <v>74</v>
      </c>
      <c r="BE520" t="s">
        <v>7141</v>
      </c>
      <c r="BF520" t="str">
        <f>HYPERLINK("http://dx.doi.org/10.1007/s003000000149","http://dx.doi.org/10.1007/s003000000149")</f>
        <v>http://dx.doi.org/10.1007/s003000000149</v>
      </c>
      <c r="BG520" t="s">
        <v>74</v>
      </c>
      <c r="BH520" t="s">
        <v>74</v>
      </c>
      <c r="BI520">
        <v>7</v>
      </c>
      <c r="BJ520" t="s">
        <v>3852</v>
      </c>
      <c r="BK520" t="s">
        <v>94</v>
      </c>
      <c r="BL520" t="s">
        <v>1103</v>
      </c>
      <c r="BM520" t="s">
        <v>7119</v>
      </c>
      <c r="BN520" t="s">
        <v>74</v>
      </c>
      <c r="BO520" t="s">
        <v>74</v>
      </c>
      <c r="BP520" t="s">
        <v>74</v>
      </c>
      <c r="BQ520" t="s">
        <v>74</v>
      </c>
      <c r="BR520" t="s">
        <v>97</v>
      </c>
      <c r="BS520" t="s">
        <v>7142</v>
      </c>
      <c r="BT520" t="str">
        <f>HYPERLINK("https%3A%2F%2Fwww.webofscience.com%2Fwos%2Fwoscc%2Ffull-record%2FWOS:000089927900004","View Full Record in Web of Science")</f>
        <v>View Full Record in Web of Science</v>
      </c>
    </row>
    <row r="521" spans="1:72" x14ac:dyDescent="0.15">
      <c r="A521" t="s">
        <v>72</v>
      </c>
      <c r="B521" t="s">
        <v>7143</v>
      </c>
      <c r="C521" t="s">
        <v>74</v>
      </c>
      <c r="D521" t="s">
        <v>74</v>
      </c>
      <c r="E521" t="s">
        <v>74</v>
      </c>
      <c r="F521" t="s">
        <v>7143</v>
      </c>
      <c r="G521" t="s">
        <v>74</v>
      </c>
      <c r="H521" t="s">
        <v>74</v>
      </c>
      <c r="I521" t="s">
        <v>7144</v>
      </c>
      <c r="J521" t="s">
        <v>3842</v>
      </c>
      <c r="K521" t="s">
        <v>74</v>
      </c>
      <c r="L521" t="s">
        <v>74</v>
      </c>
      <c r="M521" t="s">
        <v>77</v>
      </c>
      <c r="N521" t="s">
        <v>78</v>
      </c>
      <c r="O521" t="s">
        <v>74</v>
      </c>
      <c r="P521" t="s">
        <v>74</v>
      </c>
      <c r="Q521" t="s">
        <v>74</v>
      </c>
      <c r="R521" t="s">
        <v>74</v>
      </c>
      <c r="S521" t="s">
        <v>74</v>
      </c>
      <c r="T521" t="s">
        <v>74</v>
      </c>
      <c r="U521" t="s">
        <v>7145</v>
      </c>
      <c r="V521" t="s">
        <v>7146</v>
      </c>
      <c r="W521" t="s">
        <v>7147</v>
      </c>
      <c r="X521" t="s">
        <v>7148</v>
      </c>
      <c r="Y521" t="s">
        <v>7149</v>
      </c>
      <c r="Z521" t="s">
        <v>7150</v>
      </c>
      <c r="AA521" t="s">
        <v>7151</v>
      </c>
      <c r="AB521" t="s">
        <v>74</v>
      </c>
      <c r="AC521" t="s">
        <v>74</v>
      </c>
      <c r="AD521" t="s">
        <v>74</v>
      </c>
      <c r="AE521" t="s">
        <v>74</v>
      </c>
      <c r="AF521" t="s">
        <v>74</v>
      </c>
      <c r="AG521">
        <v>36</v>
      </c>
      <c r="AH521">
        <v>51</v>
      </c>
      <c r="AI521">
        <v>57</v>
      </c>
      <c r="AJ521">
        <v>0</v>
      </c>
      <c r="AK521">
        <v>14</v>
      </c>
      <c r="AL521" t="s">
        <v>906</v>
      </c>
      <c r="AM521" t="s">
        <v>160</v>
      </c>
      <c r="AN521" t="s">
        <v>890</v>
      </c>
      <c r="AO521" t="s">
        <v>3848</v>
      </c>
      <c r="AP521" t="s">
        <v>3871</v>
      </c>
      <c r="AQ521" t="s">
        <v>74</v>
      </c>
      <c r="AR521" t="s">
        <v>3849</v>
      </c>
      <c r="AS521" t="s">
        <v>3850</v>
      </c>
      <c r="AT521" t="s">
        <v>6395</v>
      </c>
      <c r="AU521">
        <v>2000</v>
      </c>
      <c r="AV521">
        <v>23</v>
      </c>
      <c r="AW521">
        <v>11</v>
      </c>
      <c r="AX521" t="s">
        <v>74</v>
      </c>
      <c r="AY521" t="s">
        <v>74</v>
      </c>
      <c r="AZ521" t="s">
        <v>74</v>
      </c>
      <c r="BA521" t="s">
        <v>74</v>
      </c>
      <c r="BB521">
        <v>766</v>
      </c>
      <c r="BC521">
        <v>774</v>
      </c>
      <c r="BD521" t="s">
        <v>74</v>
      </c>
      <c r="BE521" t="s">
        <v>7152</v>
      </c>
      <c r="BF521" t="str">
        <f>HYPERLINK("http://dx.doi.org/10.1007/s003000000150","http://dx.doi.org/10.1007/s003000000150")</f>
        <v>http://dx.doi.org/10.1007/s003000000150</v>
      </c>
      <c r="BG521" t="s">
        <v>74</v>
      </c>
      <c r="BH521" t="s">
        <v>74</v>
      </c>
      <c r="BI521">
        <v>9</v>
      </c>
      <c r="BJ521" t="s">
        <v>3852</v>
      </c>
      <c r="BK521" t="s">
        <v>94</v>
      </c>
      <c r="BL521" t="s">
        <v>1103</v>
      </c>
      <c r="BM521" t="s">
        <v>7119</v>
      </c>
      <c r="BN521" t="s">
        <v>74</v>
      </c>
      <c r="BO521" t="s">
        <v>74</v>
      </c>
      <c r="BP521" t="s">
        <v>74</v>
      </c>
      <c r="BQ521" t="s">
        <v>74</v>
      </c>
      <c r="BR521" t="s">
        <v>97</v>
      </c>
      <c r="BS521" t="s">
        <v>7153</v>
      </c>
      <c r="BT521" t="str">
        <f>HYPERLINK("https%3A%2F%2Fwww.webofscience.com%2Fwos%2Fwoscc%2Ffull-record%2FWOS:000089927900005","View Full Record in Web of Science")</f>
        <v>View Full Record in Web of Science</v>
      </c>
    </row>
    <row r="522" spans="1:72" x14ac:dyDescent="0.15">
      <c r="A522" t="s">
        <v>72</v>
      </c>
      <c r="B522" t="s">
        <v>7154</v>
      </c>
      <c r="C522" t="s">
        <v>74</v>
      </c>
      <c r="D522" t="s">
        <v>74</v>
      </c>
      <c r="E522" t="s">
        <v>74</v>
      </c>
      <c r="F522" t="s">
        <v>7154</v>
      </c>
      <c r="G522" t="s">
        <v>74</v>
      </c>
      <c r="H522" t="s">
        <v>74</v>
      </c>
      <c r="I522" t="s">
        <v>7155</v>
      </c>
      <c r="J522" t="s">
        <v>3842</v>
      </c>
      <c r="K522" t="s">
        <v>74</v>
      </c>
      <c r="L522" t="s">
        <v>74</v>
      </c>
      <c r="M522" t="s">
        <v>77</v>
      </c>
      <c r="N522" t="s">
        <v>78</v>
      </c>
      <c r="O522" t="s">
        <v>74</v>
      </c>
      <c r="P522" t="s">
        <v>74</v>
      </c>
      <c r="Q522" t="s">
        <v>74</v>
      </c>
      <c r="R522" t="s">
        <v>74</v>
      </c>
      <c r="S522" t="s">
        <v>74</v>
      </c>
      <c r="T522" t="s">
        <v>74</v>
      </c>
      <c r="U522" t="s">
        <v>7156</v>
      </c>
      <c r="V522" t="s">
        <v>7157</v>
      </c>
      <c r="W522" t="s">
        <v>7158</v>
      </c>
      <c r="X522" t="s">
        <v>7159</v>
      </c>
      <c r="Y522" t="s">
        <v>7160</v>
      </c>
      <c r="Z522" t="s">
        <v>74</v>
      </c>
      <c r="AA522" t="s">
        <v>7161</v>
      </c>
      <c r="AB522" t="s">
        <v>7162</v>
      </c>
      <c r="AC522" t="s">
        <v>74</v>
      </c>
      <c r="AD522" t="s">
        <v>74</v>
      </c>
      <c r="AE522" t="s">
        <v>74</v>
      </c>
      <c r="AF522" t="s">
        <v>74</v>
      </c>
      <c r="AG522">
        <v>66</v>
      </c>
      <c r="AH522">
        <v>22</v>
      </c>
      <c r="AI522">
        <v>23</v>
      </c>
      <c r="AJ522">
        <v>0</v>
      </c>
      <c r="AK522">
        <v>8</v>
      </c>
      <c r="AL522" t="s">
        <v>159</v>
      </c>
      <c r="AM522" t="s">
        <v>160</v>
      </c>
      <c r="AN522" t="s">
        <v>161</v>
      </c>
      <c r="AO522" t="s">
        <v>3848</v>
      </c>
      <c r="AP522" t="s">
        <v>74</v>
      </c>
      <c r="AQ522" t="s">
        <v>74</v>
      </c>
      <c r="AR522" t="s">
        <v>3849</v>
      </c>
      <c r="AS522" t="s">
        <v>3850</v>
      </c>
      <c r="AT522" t="s">
        <v>6395</v>
      </c>
      <c r="AU522">
        <v>2000</v>
      </c>
      <c r="AV522">
        <v>23</v>
      </c>
      <c r="AW522">
        <v>11</v>
      </c>
      <c r="AX522" t="s">
        <v>74</v>
      </c>
      <c r="AY522" t="s">
        <v>74</v>
      </c>
      <c r="AZ522" t="s">
        <v>74</v>
      </c>
      <c r="BA522" t="s">
        <v>74</v>
      </c>
      <c r="BB522">
        <v>775</v>
      </c>
      <c r="BC522">
        <v>784</v>
      </c>
      <c r="BD522" t="s">
        <v>74</v>
      </c>
      <c r="BE522" t="s">
        <v>7163</v>
      </c>
      <c r="BF522" t="str">
        <f>HYPERLINK("http://dx.doi.org/10.1007/s003000000151","http://dx.doi.org/10.1007/s003000000151")</f>
        <v>http://dx.doi.org/10.1007/s003000000151</v>
      </c>
      <c r="BG522" t="s">
        <v>74</v>
      </c>
      <c r="BH522" t="s">
        <v>74</v>
      </c>
      <c r="BI522">
        <v>10</v>
      </c>
      <c r="BJ522" t="s">
        <v>3852</v>
      </c>
      <c r="BK522" t="s">
        <v>94</v>
      </c>
      <c r="BL522" t="s">
        <v>1103</v>
      </c>
      <c r="BM522" t="s">
        <v>7119</v>
      </c>
      <c r="BN522" t="s">
        <v>74</v>
      </c>
      <c r="BO522" t="s">
        <v>74</v>
      </c>
      <c r="BP522" t="s">
        <v>74</v>
      </c>
      <c r="BQ522" t="s">
        <v>74</v>
      </c>
      <c r="BR522" t="s">
        <v>97</v>
      </c>
      <c r="BS522" t="s">
        <v>7164</v>
      </c>
      <c r="BT522" t="str">
        <f>HYPERLINK("https%3A%2F%2Fwww.webofscience.com%2Fwos%2Fwoscc%2Ffull-record%2FWOS:000089927900006","View Full Record in Web of Science")</f>
        <v>View Full Record in Web of Science</v>
      </c>
    </row>
    <row r="523" spans="1:72" x14ac:dyDescent="0.15">
      <c r="A523" t="s">
        <v>72</v>
      </c>
      <c r="B523" t="s">
        <v>7165</v>
      </c>
      <c r="C523" t="s">
        <v>74</v>
      </c>
      <c r="D523" t="s">
        <v>74</v>
      </c>
      <c r="E523" t="s">
        <v>74</v>
      </c>
      <c r="F523" t="s">
        <v>7165</v>
      </c>
      <c r="G523" t="s">
        <v>74</v>
      </c>
      <c r="H523" t="s">
        <v>74</v>
      </c>
      <c r="I523" t="s">
        <v>7166</v>
      </c>
      <c r="J523" t="s">
        <v>3842</v>
      </c>
      <c r="K523" t="s">
        <v>74</v>
      </c>
      <c r="L523" t="s">
        <v>74</v>
      </c>
      <c r="M523" t="s">
        <v>77</v>
      </c>
      <c r="N523" t="s">
        <v>78</v>
      </c>
      <c r="O523" t="s">
        <v>74</v>
      </c>
      <c r="P523" t="s">
        <v>74</v>
      </c>
      <c r="Q523" t="s">
        <v>74</v>
      </c>
      <c r="R523" t="s">
        <v>74</v>
      </c>
      <c r="S523" t="s">
        <v>74</v>
      </c>
      <c r="T523" t="s">
        <v>74</v>
      </c>
      <c r="U523" t="s">
        <v>7167</v>
      </c>
      <c r="V523" t="s">
        <v>7168</v>
      </c>
      <c r="W523" t="s">
        <v>7169</v>
      </c>
      <c r="X523" t="s">
        <v>7170</v>
      </c>
      <c r="Y523" t="s">
        <v>7171</v>
      </c>
      <c r="Z523" t="s">
        <v>74</v>
      </c>
      <c r="AA523" t="s">
        <v>74</v>
      </c>
      <c r="AB523" t="s">
        <v>4650</v>
      </c>
      <c r="AC523" t="s">
        <v>74</v>
      </c>
      <c r="AD523" t="s">
        <v>74</v>
      </c>
      <c r="AE523" t="s">
        <v>74</v>
      </c>
      <c r="AF523" t="s">
        <v>74</v>
      </c>
      <c r="AG523">
        <v>48</v>
      </c>
      <c r="AH523">
        <v>71</v>
      </c>
      <c r="AI523">
        <v>78</v>
      </c>
      <c r="AJ523">
        <v>0</v>
      </c>
      <c r="AK523">
        <v>10</v>
      </c>
      <c r="AL523" t="s">
        <v>159</v>
      </c>
      <c r="AM523" t="s">
        <v>160</v>
      </c>
      <c r="AN523" t="s">
        <v>161</v>
      </c>
      <c r="AO523" t="s">
        <v>3848</v>
      </c>
      <c r="AP523" t="s">
        <v>74</v>
      </c>
      <c r="AQ523" t="s">
        <v>74</v>
      </c>
      <c r="AR523" t="s">
        <v>3849</v>
      </c>
      <c r="AS523" t="s">
        <v>3850</v>
      </c>
      <c r="AT523" t="s">
        <v>6395</v>
      </c>
      <c r="AU523">
        <v>2000</v>
      </c>
      <c r="AV523">
        <v>23</v>
      </c>
      <c r="AW523">
        <v>11</v>
      </c>
      <c r="AX523" t="s">
        <v>74</v>
      </c>
      <c r="AY523" t="s">
        <v>74</v>
      </c>
      <c r="AZ523" t="s">
        <v>74</v>
      </c>
      <c r="BA523" t="s">
        <v>74</v>
      </c>
      <c r="BB523">
        <v>785</v>
      </c>
      <c r="BC523">
        <v>791</v>
      </c>
      <c r="BD523" t="s">
        <v>74</v>
      </c>
      <c r="BE523" t="s">
        <v>7172</v>
      </c>
      <c r="BF523" t="str">
        <f>HYPERLINK("http://dx.doi.org/10.1007/s003000000153","http://dx.doi.org/10.1007/s003000000153")</f>
        <v>http://dx.doi.org/10.1007/s003000000153</v>
      </c>
      <c r="BG523" t="s">
        <v>74</v>
      </c>
      <c r="BH523" t="s">
        <v>74</v>
      </c>
      <c r="BI523">
        <v>7</v>
      </c>
      <c r="BJ523" t="s">
        <v>3852</v>
      </c>
      <c r="BK523" t="s">
        <v>94</v>
      </c>
      <c r="BL523" t="s">
        <v>1103</v>
      </c>
      <c r="BM523" t="s">
        <v>7119</v>
      </c>
      <c r="BN523" t="s">
        <v>74</v>
      </c>
      <c r="BO523" t="s">
        <v>74</v>
      </c>
      <c r="BP523" t="s">
        <v>74</v>
      </c>
      <c r="BQ523" t="s">
        <v>74</v>
      </c>
      <c r="BR523" t="s">
        <v>97</v>
      </c>
      <c r="BS523" t="s">
        <v>7173</v>
      </c>
      <c r="BT523" t="str">
        <f>HYPERLINK("https%3A%2F%2Fwww.webofscience.com%2Fwos%2Fwoscc%2Ffull-record%2FWOS:000089927900007","View Full Record in Web of Science")</f>
        <v>View Full Record in Web of Science</v>
      </c>
    </row>
    <row r="524" spans="1:72" x14ac:dyDescent="0.15">
      <c r="A524" t="s">
        <v>72</v>
      </c>
      <c r="B524" t="s">
        <v>7174</v>
      </c>
      <c r="C524" t="s">
        <v>74</v>
      </c>
      <c r="D524" t="s">
        <v>74</v>
      </c>
      <c r="E524" t="s">
        <v>74</v>
      </c>
      <c r="F524" t="s">
        <v>7174</v>
      </c>
      <c r="G524" t="s">
        <v>74</v>
      </c>
      <c r="H524" t="s">
        <v>74</v>
      </c>
      <c r="I524" t="s">
        <v>7175</v>
      </c>
      <c r="J524" t="s">
        <v>4737</v>
      </c>
      <c r="K524" t="s">
        <v>74</v>
      </c>
      <c r="L524" t="s">
        <v>74</v>
      </c>
      <c r="M524" t="s">
        <v>77</v>
      </c>
      <c r="N524" t="s">
        <v>78</v>
      </c>
      <c r="O524" t="s">
        <v>74</v>
      </c>
      <c r="P524" t="s">
        <v>74</v>
      </c>
      <c r="Q524" t="s">
        <v>74</v>
      </c>
      <c r="R524" t="s">
        <v>74</v>
      </c>
      <c r="S524" t="s">
        <v>74</v>
      </c>
      <c r="T524" t="s">
        <v>74</v>
      </c>
      <c r="U524" t="s">
        <v>7176</v>
      </c>
      <c r="V524" t="s">
        <v>7177</v>
      </c>
      <c r="W524" t="s">
        <v>7178</v>
      </c>
      <c r="X524" t="s">
        <v>7179</v>
      </c>
      <c r="Y524" t="s">
        <v>7180</v>
      </c>
      <c r="Z524" t="s">
        <v>74</v>
      </c>
      <c r="AA524" t="s">
        <v>74</v>
      </c>
      <c r="AB524" t="s">
        <v>74</v>
      </c>
      <c r="AC524" t="s">
        <v>74</v>
      </c>
      <c r="AD524" t="s">
        <v>74</v>
      </c>
      <c r="AE524" t="s">
        <v>74</v>
      </c>
      <c r="AF524" t="s">
        <v>74</v>
      </c>
      <c r="AG524">
        <v>25</v>
      </c>
      <c r="AH524">
        <v>4</v>
      </c>
      <c r="AI524">
        <v>4</v>
      </c>
      <c r="AJ524">
        <v>0</v>
      </c>
      <c r="AK524">
        <v>0</v>
      </c>
      <c r="AL524" t="s">
        <v>4741</v>
      </c>
      <c r="AM524" t="s">
        <v>1060</v>
      </c>
      <c r="AN524" t="s">
        <v>4742</v>
      </c>
      <c r="AO524" t="s">
        <v>4743</v>
      </c>
      <c r="AP524" t="s">
        <v>74</v>
      </c>
      <c r="AQ524" t="s">
        <v>74</v>
      </c>
      <c r="AR524" t="s">
        <v>4745</v>
      </c>
      <c r="AS524" t="s">
        <v>4746</v>
      </c>
      <c r="AT524" t="s">
        <v>6773</v>
      </c>
      <c r="AU524">
        <v>2000</v>
      </c>
      <c r="AV524">
        <v>113</v>
      </c>
      <c r="AW524">
        <v>3</v>
      </c>
      <c r="AX524" t="s">
        <v>74</v>
      </c>
      <c r="AY524" t="s">
        <v>74</v>
      </c>
      <c r="AZ524" t="s">
        <v>74</v>
      </c>
      <c r="BA524" t="s">
        <v>74</v>
      </c>
      <c r="BB524">
        <v>721</v>
      </c>
      <c r="BC524">
        <v>730</v>
      </c>
      <c r="BD524" t="s">
        <v>74</v>
      </c>
      <c r="BE524" t="s">
        <v>74</v>
      </c>
      <c r="BF524" t="s">
        <v>74</v>
      </c>
      <c r="BG524" t="s">
        <v>74</v>
      </c>
      <c r="BH524" t="s">
        <v>74</v>
      </c>
      <c r="BI524">
        <v>10</v>
      </c>
      <c r="BJ524" t="s">
        <v>3757</v>
      </c>
      <c r="BK524" t="s">
        <v>94</v>
      </c>
      <c r="BL524" t="s">
        <v>3758</v>
      </c>
      <c r="BM524" t="s">
        <v>7181</v>
      </c>
      <c r="BN524" t="s">
        <v>74</v>
      </c>
      <c r="BO524" t="s">
        <v>74</v>
      </c>
      <c r="BP524" t="s">
        <v>74</v>
      </c>
      <c r="BQ524" t="s">
        <v>74</v>
      </c>
      <c r="BR524" t="s">
        <v>97</v>
      </c>
      <c r="BS524" t="s">
        <v>7182</v>
      </c>
      <c r="BT524" t="str">
        <f>HYPERLINK("https%3A%2F%2Fwww.webofscience.com%2Fwos%2Fwoscc%2Ffull-record%2FWOS:000165285300015","View Full Record in Web of Science")</f>
        <v>View Full Record in Web of Science</v>
      </c>
    </row>
    <row r="525" spans="1:72" x14ac:dyDescent="0.15">
      <c r="A525" t="s">
        <v>72</v>
      </c>
      <c r="B525" t="s">
        <v>7183</v>
      </c>
      <c r="C525" t="s">
        <v>74</v>
      </c>
      <c r="D525" t="s">
        <v>74</v>
      </c>
      <c r="E525" t="s">
        <v>74</v>
      </c>
      <c r="F525" t="s">
        <v>7183</v>
      </c>
      <c r="G525" t="s">
        <v>74</v>
      </c>
      <c r="H525" t="s">
        <v>74</v>
      </c>
      <c r="I525" t="s">
        <v>7184</v>
      </c>
      <c r="J525" t="s">
        <v>4109</v>
      </c>
      <c r="K525" t="s">
        <v>74</v>
      </c>
      <c r="L525" t="s">
        <v>74</v>
      </c>
      <c r="M525" t="s">
        <v>77</v>
      </c>
      <c r="N525" t="s">
        <v>78</v>
      </c>
      <c r="O525" t="s">
        <v>74</v>
      </c>
      <c r="P525" t="s">
        <v>74</v>
      </c>
      <c r="Q525" t="s">
        <v>74</v>
      </c>
      <c r="R525" t="s">
        <v>74</v>
      </c>
      <c r="S525" t="s">
        <v>74</v>
      </c>
      <c r="T525" t="s">
        <v>74</v>
      </c>
      <c r="U525" t="s">
        <v>7185</v>
      </c>
      <c r="V525" t="s">
        <v>7186</v>
      </c>
      <c r="W525" t="s">
        <v>7187</v>
      </c>
      <c r="X525" t="s">
        <v>7188</v>
      </c>
      <c r="Y525" t="s">
        <v>7189</v>
      </c>
      <c r="Z525" t="s">
        <v>74</v>
      </c>
      <c r="AA525" t="s">
        <v>7190</v>
      </c>
      <c r="AB525" t="s">
        <v>7191</v>
      </c>
      <c r="AC525" t="s">
        <v>74</v>
      </c>
      <c r="AD525" t="s">
        <v>74</v>
      </c>
      <c r="AE525" t="s">
        <v>74</v>
      </c>
      <c r="AF525" t="s">
        <v>74</v>
      </c>
      <c r="AG525">
        <v>52</v>
      </c>
      <c r="AH525">
        <v>242</v>
      </c>
      <c r="AI525">
        <v>280</v>
      </c>
      <c r="AJ525">
        <v>1</v>
      </c>
      <c r="AK525">
        <v>65</v>
      </c>
      <c r="AL525" t="s">
        <v>108</v>
      </c>
      <c r="AM525" t="s">
        <v>160</v>
      </c>
      <c r="AN525" t="s">
        <v>965</v>
      </c>
      <c r="AO525" t="s">
        <v>4119</v>
      </c>
      <c r="AP525" t="s">
        <v>7192</v>
      </c>
      <c r="AQ525" t="s">
        <v>74</v>
      </c>
      <c r="AR525" t="s">
        <v>4120</v>
      </c>
      <c r="AS525" t="s">
        <v>4121</v>
      </c>
      <c r="AT525" t="s">
        <v>6395</v>
      </c>
      <c r="AU525">
        <v>2000</v>
      </c>
      <c r="AV525">
        <v>54</v>
      </c>
      <c r="AW525">
        <v>3</v>
      </c>
      <c r="AX525" t="s">
        <v>74</v>
      </c>
      <c r="AY525" t="s">
        <v>74</v>
      </c>
      <c r="AZ525" t="s">
        <v>74</v>
      </c>
      <c r="BA525" t="s">
        <v>74</v>
      </c>
      <c r="BB525">
        <v>348</v>
      </c>
      <c r="BC525">
        <v>358</v>
      </c>
      <c r="BD525" t="s">
        <v>74</v>
      </c>
      <c r="BE525" t="s">
        <v>7193</v>
      </c>
      <c r="BF525" t="str">
        <f>HYPERLINK("http://dx.doi.org/10.1006/qres.2000.2172","http://dx.doi.org/10.1006/qres.2000.2172")</f>
        <v>http://dx.doi.org/10.1006/qres.2000.2172</v>
      </c>
      <c r="BG525" t="s">
        <v>74</v>
      </c>
      <c r="BH525" t="s">
        <v>74</v>
      </c>
      <c r="BI525">
        <v>11</v>
      </c>
      <c r="BJ525" t="s">
        <v>1214</v>
      </c>
      <c r="BK525" t="s">
        <v>94</v>
      </c>
      <c r="BL525" t="s">
        <v>1215</v>
      </c>
      <c r="BM525" t="s">
        <v>7194</v>
      </c>
      <c r="BN525" t="s">
        <v>74</v>
      </c>
      <c r="BO525" t="s">
        <v>74</v>
      </c>
      <c r="BP525" t="s">
        <v>74</v>
      </c>
      <c r="BQ525" t="s">
        <v>74</v>
      </c>
      <c r="BR525" t="s">
        <v>97</v>
      </c>
      <c r="BS525" t="s">
        <v>7195</v>
      </c>
      <c r="BT525" t="str">
        <f>HYPERLINK("https%3A%2F%2Fwww.webofscience.com%2Fwos%2Fwoscc%2Ffull-record%2FWOS:000166164900006","View Full Record in Web of Science")</f>
        <v>View Full Record in Web of Science</v>
      </c>
    </row>
    <row r="526" spans="1:72" x14ac:dyDescent="0.15">
      <c r="A526" t="s">
        <v>72</v>
      </c>
      <c r="B526" t="s">
        <v>7196</v>
      </c>
      <c r="C526" t="s">
        <v>74</v>
      </c>
      <c r="D526" t="s">
        <v>74</v>
      </c>
      <c r="E526" t="s">
        <v>74</v>
      </c>
      <c r="F526" t="s">
        <v>7196</v>
      </c>
      <c r="G526" t="s">
        <v>74</v>
      </c>
      <c r="H526" t="s">
        <v>74</v>
      </c>
      <c r="I526" t="s">
        <v>7197</v>
      </c>
      <c r="J526" t="s">
        <v>4281</v>
      </c>
      <c r="K526" t="s">
        <v>74</v>
      </c>
      <c r="L526" t="s">
        <v>74</v>
      </c>
      <c r="M526" t="s">
        <v>77</v>
      </c>
      <c r="N526" t="s">
        <v>78</v>
      </c>
      <c r="O526" t="s">
        <v>74</v>
      </c>
      <c r="P526" t="s">
        <v>74</v>
      </c>
      <c r="Q526" t="s">
        <v>74</v>
      </c>
      <c r="R526" t="s">
        <v>74</v>
      </c>
      <c r="S526" t="s">
        <v>74</v>
      </c>
      <c r="T526" t="s">
        <v>74</v>
      </c>
      <c r="U526" t="s">
        <v>7198</v>
      </c>
      <c r="V526" t="s">
        <v>7199</v>
      </c>
      <c r="W526" t="s">
        <v>7200</v>
      </c>
      <c r="X526" t="s">
        <v>1402</v>
      </c>
      <c r="Y526" t="s">
        <v>7201</v>
      </c>
      <c r="Z526" t="s">
        <v>7202</v>
      </c>
      <c r="AA526" t="s">
        <v>7203</v>
      </c>
      <c r="AB526" t="s">
        <v>7204</v>
      </c>
      <c r="AC526" t="s">
        <v>74</v>
      </c>
      <c r="AD526" t="s">
        <v>74</v>
      </c>
      <c r="AE526" t="s">
        <v>74</v>
      </c>
      <c r="AF526" t="s">
        <v>74</v>
      </c>
      <c r="AG526">
        <v>34</v>
      </c>
      <c r="AH526">
        <v>236</v>
      </c>
      <c r="AI526">
        <v>262</v>
      </c>
      <c r="AJ526">
        <v>2</v>
      </c>
      <c r="AK526">
        <v>56</v>
      </c>
      <c r="AL526" t="s">
        <v>4286</v>
      </c>
      <c r="AM526" t="s">
        <v>160</v>
      </c>
      <c r="AN526" t="s">
        <v>5274</v>
      </c>
      <c r="AO526" t="s">
        <v>4288</v>
      </c>
      <c r="AP526" t="s">
        <v>7205</v>
      </c>
      <c r="AQ526" t="s">
        <v>74</v>
      </c>
      <c r="AR526" t="s">
        <v>4289</v>
      </c>
      <c r="AS526" t="s">
        <v>4290</v>
      </c>
      <c r="AT526" t="s">
        <v>6395</v>
      </c>
      <c r="AU526">
        <v>2000</v>
      </c>
      <c r="AV526">
        <v>74</v>
      </c>
      <c r="AW526">
        <v>2</v>
      </c>
      <c r="AX526" t="s">
        <v>74</v>
      </c>
      <c r="AY526" t="s">
        <v>74</v>
      </c>
      <c r="AZ526" t="s">
        <v>74</v>
      </c>
      <c r="BA526" t="s">
        <v>74</v>
      </c>
      <c r="BB526">
        <v>207</v>
      </c>
      <c r="BC526">
        <v>216</v>
      </c>
      <c r="BD526" t="s">
        <v>74</v>
      </c>
      <c r="BE526" t="s">
        <v>7206</v>
      </c>
      <c r="BF526" t="str">
        <f>HYPERLINK("http://dx.doi.org/10.1016/S0034-4257(00)00111-5","http://dx.doi.org/10.1016/S0034-4257(00)00111-5")</f>
        <v>http://dx.doi.org/10.1016/S0034-4257(00)00111-5</v>
      </c>
      <c r="BG526" t="s">
        <v>74</v>
      </c>
      <c r="BH526" t="s">
        <v>74</v>
      </c>
      <c r="BI526">
        <v>10</v>
      </c>
      <c r="BJ526" t="s">
        <v>4292</v>
      </c>
      <c r="BK526" t="s">
        <v>94</v>
      </c>
      <c r="BL526" t="s">
        <v>4293</v>
      </c>
      <c r="BM526" t="s">
        <v>7207</v>
      </c>
      <c r="BN526" t="s">
        <v>74</v>
      </c>
      <c r="BO526" t="s">
        <v>74</v>
      </c>
      <c r="BP526" t="s">
        <v>74</v>
      </c>
      <c r="BQ526" t="s">
        <v>74</v>
      </c>
      <c r="BR526" t="s">
        <v>97</v>
      </c>
      <c r="BS526" t="s">
        <v>7208</v>
      </c>
      <c r="BT526" t="str">
        <f>HYPERLINK("https%3A%2F%2Fwww.webofscience.com%2Fwos%2Fwoscc%2Ffull-record%2FWOS:000089991800002","View Full Record in Web of Science")</f>
        <v>View Full Record in Web of Science</v>
      </c>
    </row>
    <row r="527" spans="1:72" x14ac:dyDescent="0.15">
      <c r="A527" t="s">
        <v>72</v>
      </c>
      <c r="B527" t="s">
        <v>7209</v>
      </c>
      <c r="C527" t="s">
        <v>74</v>
      </c>
      <c r="D527" t="s">
        <v>74</v>
      </c>
      <c r="E527" t="s">
        <v>74</v>
      </c>
      <c r="F527" t="s">
        <v>7209</v>
      </c>
      <c r="G527" t="s">
        <v>74</v>
      </c>
      <c r="H527" t="s">
        <v>74</v>
      </c>
      <c r="I527" t="s">
        <v>7210</v>
      </c>
      <c r="J527" t="s">
        <v>7211</v>
      </c>
      <c r="K527" t="s">
        <v>74</v>
      </c>
      <c r="L527" t="s">
        <v>74</v>
      </c>
      <c r="M527" t="s">
        <v>77</v>
      </c>
      <c r="N527" t="s">
        <v>236</v>
      </c>
      <c r="O527" t="s">
        <v>74</v>
      </c>
      <c r="P527" t="s">
        <v>74</v>
      </c>
      <c r="Q527" t="s">
        <v>74</v>
      </c>
      <c r="R527" t="s">
        <v>74</v>
      </c>
      <c r="S527" t="s">
        <v>74</v>
      </c>
      <c r="T527" t="s">
        <v>74</v>
      </c>
      <c r="U527" t="s">
        <v>7212</v>
      </c>
      <c r="V527" t="s">
        <v>7213</v>
      </c>
      <c r="W527" t="s">
        <v>7214</v>
      </c>
      <c r="X527" t="s">
        <v>7215</v>
      </c>
      <c r="Y527" t="s">
        <v>7216</v>
      </c>
      <c r="Z527" t="s">
        <v>7217</v>
      </c>
      <c r="AA527" t="s">
        <v>7218</v>
      </c>
      <c r="AB527" t="s">
        <v>7219</v>
      </c>
      <c r="AC527" t="s">
        <v>74</v>
      </c>
      <c r="AD527" t="s">
        <v>74</v>
      </c>
      <c r="AE527" t="s">
        <v>74</v>
      </c>
      <c r="AF527" t="s">
        <v>74</v>
      </c>
      <c r="AG527">
        <v>74</v>
      </c>
      <c r="AH527">
        <v>14</v>
      </c>
      <c r="AI527">
        <v>16</v>
      </c>
      <c r="AJ527">
        <v>0</v>
      </c>
      <c r="AK527">
        <v>2</v>
      </c>
      <c r="AL527" t="s">
        <v>7220</v>
      </c>
      <c r="AM527" t="s">
        <v>7221</v>
      </c>
      <c r="AN527" t="s">
        <v>7222</v>
      </c>
      <c r="AO527" t="s">
        <v>7223</v>
      </c>
      <c r="AP527" t="s">
        <v>74</v>
      </c>
      <c r="AQ527" t="s">
        <v>74</v>
      </c>
      <c r="AR527" t="s">
        <v>7224</v>
      </c>
      <c r="AS527" t="s">
        <v>7225</v>
      </c>
      <c r="AT527" t="s">
        <v>6652</v>
      </c>
      <c r="AU527">
        <v>2000</v>
      </c>
      <c r="AV527">
        <v>96</v>
      </c>
      <c r="AW527" t="s">
        <v>293</v>
      </c>
      <c r="AX527" t="s">
        <v>74</v>
      </c>
      <c r="AY527" t="s">
        <v>74</v>
      </c>
      <c r="AZ527" t="s">
        <v>74</v>
      </c>
      <c r="BA527" t="s">
        <v>74</v>
      </c>
      <c r="BB527">
        <v>557</v>
      </c>
      <c r="BC527">
        <v>565</v>
      </c>
      <c r="BD527" t="s">
        <v>74</v>
      </c>
      <c r="BE527" t="s">
        <v>74</v>
      </c>
      <c r="BF527" t="s">
        <v>74</v>
      </c>
      <c r="BG527" t="s">
        <v>74</v>
      </c>
      <c r="BH527" t="s">
        <v>74</v>
      </c>
      <c r="BI527">
        <v>9</v>
      </c>
      <c r="BJ527" t="s">
        <v>93</v>
      </c>
      <c r="BK527" t="s">
        <v>94</v>
      </c>
      <c r="BL527" t="s">
        <v>95</v>
      </c>
      <c r="BM527" t="s">
        <v>7226</v>
      </c>
      <c r="BN527" t="s">
        <v>74</v>
      </c>
      <c r="BO527" t="s">
        <v>74</v>
      </c>
      <c r="BP527" t="s">
        <v>74</v>
      </c>
      <c r="BQ527" t="s">
        <v>74</v>
      </c>
      <c r="BR527" t="s">
        <v>97</v>
      </c>
      <c r="BS527" t="s">
        <v>7227</v>
      </c>
      <c r="BT527" t="str">
        <f>HYPERLINK("https%3A%2F%2Fwww.webofscience.com%2Fwos%2Fwoscc%2Ffull-record%2FWOS:000166768100009","View Full Record in Web of Science")</f>
        <v>View Full Record in Web of Science</v>
      </c>
    </row>
    <row r="528" spans="1:72" x14ac:dyDescent="0.15">
      <c r="A528" t="s">
        <v>72</v>
      </c>
      <c r="B528" t="s">
        <v>7228</v>
      </c>
      <c r="C528" t="s">
        <v>74</v>
      </c>
      <c r="D528" t="s">
        <v>74</v>
      </c>
      <c r="E528" t="s">
        <v>74</v>
      </c>
      <c r="F528" t="s">
        <v>7228</v>
      </c>
      <c r="G528" t="s">
        <v>74</v>
      </c>
      <c r="H528" t="s">
        <v>74</v>
      </c>
      <c r="I528" t="s">
        <v>7229</v>
      </c>
      <c r="J528" t="s">
        <v>4772</v>
      </c>
      <c r="K528" t="s">
        <v>74</v>
      </c>
      <c r="L528" t="s">
        <v>74</v>
      </c>
      <c r="M528" t="s">
        <v>77</v>
      </c>
      <c r="N528" t="s">
        <v>78</v>
      </c>
      <c r="O528" t="s">
        <v>74</v>
      </c>
      <c r="P528" t="s">
        <v>74</v>
      </c>
      <c r="Q528" t="s">
        <v>74</v>
      </c>
      <c r="R528" t="s">
        <v>74</v>
      </c>
      <c r="S528" t="s">
        <v>74</v>
      </c>
      <c r="T528" t="s">
        <v>74</v>
      </c>
      <c r="U528" t="s">
        <v>7230</v>
      </c>
      <c r="V528" t="s">
        <v>7231</v>
      </c>
      <c r="W528" t="s">
        <v>7232</v>
      </c>
      <c r="X528" t="s">
        <v>7233</v>
      </c>
      <c r="Y528" t="s">
        <v>7234</v>
      </c>
      <c r="Z528" t="s">
        <v>74</v>
      </c>
      <c r="AA528" t="s">
        <v>74</v>
      </c>
      <c r="AB528" t="s">
        <v>74</v>
      </c>
      <c r="AC528" t="s">
        <v>74</v>
      </c>
      <c r="AD528" t="s">
        <v>74</v>
      </c>
      <c r="AE528" t="s">
        <v>74</v>
      </c>
      <c r="AF528" t="s">
        <v>74</v>
      </c>
      <c r="AG528">
        <v>19</v>
      </c>
      <c r="AH528">
        <v>10</v>
      </c>
      <c r="AI528">
        <v>11</v>
      </c>
      <c r="AJ528">
        <v>0</v>
      </c>
      <c r="AK528">
        <v>3</v>
      </c>
      <c r="AL528" t="s">
        <v>1059</v>
      </c>
      <c r="AM528" t="s">
        <v>1060</v>
      </c>
      <c r="AN528" t="s">
        <v>1061</v>
      </c>
      <c r="AO528" t="s">
        <v>4798</v>
      </c>
      <c r="AP528" t="s">
        <v>74</v>
      </c>
      <c r="AQ528" t="s">
        <v>74</v>
      </c>
      <c r="AR528" t="s">
        <v>4781</v>
      </c>
      <c r="AS528" t="s">
        <v>4782</v>
      </c>
      <c r="AT528" t="s">
        <v>7235</v>
      </c>
      <c r="AU528">
        <v>2000</v>
      </c>
      <c r="AV528">
        <v>105</v>
      </c>
      <c r="AW528" t="s">
        <v>7236</v>
      </c>
      <c r="AX528" t="s">
        <v>74</v>
      </c>
      <c r="AY528" t="s">
        <v>74</v>
      </c>
      <c r="AZ528" t="s">
        <v>74</v>
      </c>
      <c r="BA528" t="s">
        <v>74</v>
      </c>
      <c r="BB528">
        <v>24731</v>
      </c>
      <c r="BC528">
        <v>24738</v>
      </c>
      <c r="BD528" t="s">
        <v>74</v>
      </c>
      <c r="BE528" t="s">
        <v>7237</v>
      </c>
      <c r="BF528" t="str">
        <f>HYPERLINK("http://dx.doi.org/10.1029/2000JD900321","http://dx.doi.org/10.1029/2000JD900321")</f>
        <v>http://dx.doi.org/10.1029/2000JD900321</v>
      </c>
      <c r="BG528" t="s">
        <v>74</v>
      </c>
      <c r="BH528" t="s">
        <v>74</v>
      </c>
      <c r="BI528">
        <v>8</v>
      </c>
      <c r="BJ528" t="s">
        <v>167</v>
      </c>
      <c r="BK528" t="s">
        <v>94</v>
      </c>
      <c r="BL528" t="s">
        <v>167</v>
      </c>
      <c r="BM528" t="s">
        <v>7238</v>
      </c>
      <c r="BN528" t="s">
        <v>74</v>
      </c>
      <c r="BO528" t="s">
        <v>74</v>
      </c>
      <c r="BP528" t="s">
        <v>74</v>
      </c>
      <c r="BQ528" t="s">
        <v>74</v>
      </c>
      <c r="BR528" t="s">
        <v>97</v>
      </c>
      <c r="BS528" t="s">
        <v>7239</v>
      </c>
      <c r="BT528" t="str">
        <f>HYPERLINK("https%3A%2F%2Fwww.webofscience.com%2Fwos%2Fwoscc%2Ffull-record%2FWOS:000090068700009","View Full Record in Web of Science")</f>
        <v>View Full Record in Web of Science</v>
      </c>
    </row>
    <row r="529" spans="1:72" x14ac:dyDescent="0.15">
      <c r="A529" t="s">
        <v>72</v>
      </c>
      <c r="B529" t="s">
        <v>7240</v>
      </c>
      <c r="C529" t="s">
        <v>74</v>
      </c>
      <c r="D529" t="s">
        <v>74</v>
      </c>
      <c r="E529" t="s">
        <v>74</v>
      </c>
      <c r="F529" t="s">
        <v>7240</v>
      </c>
      <c r="G529" t="s">
        <v>74</v>
      </c>
      <c r="H529" t="s">
        <v>74</v>
      </c>
      <c r="I529" t="s">
        <v>7241</v>
      </c>
      <c r="J529" t="s">
        <v>5539</v>
      </c>
      <c r="K529" t="s">
        <v>74</v>
      </c>
      <c r="L529" t="s">
        <v>74</v>
      </c>
      <c r="M529" t="s">
        <v>77</v>
      </c>
      <c r="N529" t="s">
        <v>78</v>
      </c>
      <c r="O529" t="s">
        <v>74</v>
      </c>
      <c r="P529" t="s">
        <v>74</v>
      </c>
      <c r="Q529" t="s">
        <v>74</v>
      </c>
      <c r="R529" t="s">
        <v>74</v>
      </c>
      <c r="S529" t="s">
        <v>74</v>
      </c>
      <c r="T529" t="s">
        <v>7242</v>
      </c>
      <c r="U529" t="s">
        <v>7243</v>
      </c>
      <c r="V529" t="s">
        <v>7244</v>
      </c>
      <c r="W529" t="s">
        <v>7245</v>
      </c>
      <c r="X529" t="s">
        <v>7246</v>
      </c>
      <c r="Y529" t="s">
        <v>7247</v>
      </c>
      <c r="Z529" t="s">
        <v>74</v>
      </c>
      <c r="AA529" t="s">
        <v>7248</v>
      </c>
      <c r="AB529" t="s">
        <v>2982</v>
      </c>
      <c r="AC529" t="s">
        <v>74</v>
      </c>
      <c r="AD529" t="s">
        <v>74</v>
      </c>
      <c r="AE529" t="s">
        <v>74</v>
      </c>
      <c r="AF529" t="s">
        <v>74</v>
      </c>
      <c r="AG529">
        <v>35</v>
      </c>
      <c r="AH529">
        <v>15</v>
      </c>
      <c r="AI529">
        <v>20</v>
      </c>
      <c r="AJ529">
        <v>0</v>
      </c>
      <c r="AK529">
        <v>9</v>
      </c>
      <c r="AL529" t="s">
        <v>1120</v>
      </c>
      <c r="AM529" t="s">
        <v>1121</v>
      </c>
      <c r="AN529" t="s">
        <v>2394</v>
      </c>
      <c r="AO529" t="s">
        <v>5548</v>
      </c>
      <c r="AP529" t="s">
        <v>74</v>
      </c>
      <c r="AQ529" t="s">
        <v>74</v>
      </c>
      <c r="AR529" t="s">
        <v>5549</v>
      </c>
      <c r="AS529" t="s">
        <v>5550</v>
      </c>
      <c r="AT529" t="s">
        <v>7249</v>
      </c>
      <c r="AU529">
        <v>2000</v>
      </c>
      <c r="AV529">
        <v>253</v>
      </c>
      <c r="AW529">
        <v>2</v>
      </c>
      <c r="AX529" t="s">
        <v>74</v>
      </c>
      <c r="AY529" t="s">
        <v>74</v>
      </c>
      <c r="AZ529" t="s">
        <v>74</v>
      </c>
      <c r="BA529" t="s">
        <v>74</v>
      </c>
      <c r="BB529">
        <v>229</v>
      </c>
      <c r="BC529">
        <v>241</v>
      </c>
      <c r="BD529" t="s">
        <v>74</v>
      </c>
      <c r="BE529" t="s">
        <v>7250</v>
      </c>
      <c r="BF529" t="str">
        <f>HYPERLINK("http://dx.doi.org/10.1016/S0022-0981(00)00257-4","http://dx.doi.org/10.1016/S0022-0981(00)00257-4")</f>
        <v>http://dx.doi.org/10.1016/S0022-0981(00)00257-4</v>
      </c>
      <c r="BG529" t="s">
        <v>74</v>
      </c>
      <c r="BH529" t="s">
        <v>74</v>
      </c>
      <c r="BI529">
        <v>13</v>
      </c>
      <c r="BJ529" t="s">
        <v>618</v>
      </c>
      <c r="BK529" t="s">
        <v>94</v>
      </c>
      <c r="BL529" t="s">
        <v>619</v>
      </c>
      <c r="BM529" t="s">
        <v>7251</v>
      </c>
      <c r="BN529">
        <v>11033366</v>
      </c>
      <c r="BO529" t="s">
        <v>7252</v>
      </c>
      <c r="BP529" t="s">
        <v>74</v>
      </c>
      <c r="BQ529" t="s">
        <v>74</v>
      </c>
      <c r="BR529" t="s">
        <v>97</v>
      </c>
      <c r="BS529" t="s">
        <v>7253</v>
      </c>
      <c r="BT529" t="str">
        <f>HYPERLINK("https%3A%2F%2Fwww.webofscience.com%2Fwos%2Fwoscc%2Ffull-record%2FWOS:000090137800006","View Full Record in Web of Science")</f>
        <v>View Full Record in Web of Science</v>
      </c>
    </row>
    <row r="530" spans="1:72" x14ac:dyDescent="0.15">
      <c r="A530" t="s">
        <v>72</v>
      </c>
      <c r="B530" t="s">
        <v>7254</v>
      </c>
      <c r="C530" t="s">
        <v>74</v>
      </c>
      <c r="D530" t="s">
        <v>74</v>
      </c>
      <c r="E530" t="s">
        <v>74</v>
      </c>
      <c r="F530" t="s">
        <v>7254</v>
      </c>
      <c r="G530" t="s">
        <v>74</v>
      </c>
      <c r="H530" t="s">
        <v>74</v>
      </c>
      <c r="I530" t="s">
        <v>7255</v>
      </c>
      <c r="J530" t="s">
        <v>4772</v>
      </c>
      <c r="K530" t="s">
        <v>74</v>
      </c>
      <c r="L530" t="s">
        <v>74</v>
      </c>
      <c r="M530" t="s">
        <v>77</v>
      </c>
      <c r="N530" t="s">
        <v>78</v>
      </c>
      <c r="O530" t="s">
        <v>74</v>
      </c>
      <c r="P530" t="s">
        <v>74</v>
      </c>
      <c r="Q530" t="s">
        <v>74</v>
      </c>
      <c r="R530" t="s">
        <v>74</v>
      </c>
      <c r="S530" t="s">
        <v>74</v>
      </c>
      <c r="T530" t="s">
        <v>74</v>
      </c>
      <c r="U530" t="s">
        <v>7256</v>
      </c>
      <c r="V530" t="s">
        <v>7257</v>
      </c>
      <c r="W530" t="s">
        <v>7258</v>
      </c>
      <c r="X530" t="s">
        <v>7259</v>
      </c>
      <c r="Y530" t="s">
        <v>7260</v>
      </c>
      <c r="Z530" t="s">
        <v>7261</v>
      </c>
      <c r="AA530" t="s">
        <v>7262</v>
      </c>
      <c r="AB530" t="s">
        <v>7263</v>
      </c>
      <c r="AC530" t="s">
        <v>74</v>
      </c>
      <c r="AD530" t="s">
        <v>74</v>
      </c>
      <c r="AE530" t="s">
        <v>74</v>
      </c>
      <c r="AF530" t="s">
        <v>74</v>
      </c>
      <c r="AG530">
        <v>29</v>
      </c>
      <c r="AH530">
        <v>7</v>
      </c>
      <c r="AI530">
        <v>8</v>
      </c>
      <c r="AJ530">
        <v>0</v>
      </c>
      <c r="AK530">
        <v>3</v>
      </c>
      <c r="AL530" t="s">
        <v>1059</v>
      </c>
      <c r="AM530" t="s">
        <v>1060</v>
      </c>
      <c r="AN530" t="s">
        <v>1061</v>
      </c>
      <c r="AO530" t="s">
        <v>4798</v>
      </c>
      <c r="AP530" t="s">
        <v>74</v>
      </c>
      <c r="AQ530" t="s">
        <v>74</v>
      </c>
      <c r="AR530" t="s">
        <v>4781</v>
      </c>
      <c r="AS530" t="s">
        <v>4782</v>
      </c>
      <c r="AT530" t="s">
        <v>7264</v>
      </c>
      <c r="AU530">
        <v>2000</v>
      </c>
      <c r="AV530">
        <v>105</v>
      </c>
      <c r="AW530" t="s">
        <v>7265</v>
      </c>
      <c r="AX530" t="s">
        <v>74</v>
      </c>
      <c r="AY530" t="s">
        <v>74</v>
      </c>
      <c r="AZ530" t="s">
        <v>74</v>
      </c>
      <c r="BA530" t="s">
        <v>74</v>
      </c>
      <c r="BB530">
        <v>24263</v>
      </c>
      <c r="BC530">
        <v>24281</v>
      </c>
      <c r="BD530" t="s">
        <v>74</v>
      </c>
      <c r="BE530" t="s">
        <v>7266</v>
      </c>
      <c r="BF530" t="str">
        <f>HYPERLINK("http://dx.doi.org/10.1029/2000JD900292","http://dx.doi.org/10.1029/2000JD900292")</f>
        <v>http://dx.doi.org/10.1029/2000JD900292</v>
      </c>
      <c r="BG530" t="s">
        <v>74</v>
      </c>
      <c r="BH530" t="s">
        <v>74</v>
      </c>
      <c r="BI530">
        <v>19</v>
      </c>
      <c r="BJ530" t="s">
        <v>167</v>
      </c>
      <c r="BK530" t="s">
        <v>94</v>
      </c>
      <c r="BL530" t="s">
        <v>167</v>
      </c>
      <c r="BM530" t="s">
        <v>7267</v>
      </c>
      <c r="BN530" t="s">
        <v>74</v>
      </c>
      <c r="BO530" t="s">
        <v>1755</v>
      </c>
      <c r="BP530" t="s">
        <v>74</v>
      </c>
      <c r="BQ530" t="s">
        <v>74</v>
      </c>
      <c r="BR530" t="s">
        <v>97</v>
      </c>
      <c r="BS530" t="s">
        <v>7268</v>
      </c>
      <c r="BT530" t="str">
        <f>HYPERLINK("https%3A%2F%2Fwww.webofscience.com%2Fwos%2Fwoscc%2Ffull-record%2FWOS:000090029300007","View Full Record in Web of Science")</f>
        <v>View Full Record in Web of Science</v>
      </c>
    </row>
    <row r="531" spans="1:72" x14ac:dyDescent="0.15">
      <c r="A531" t="s">
        <v>72</v>
      </c>
      <c r="B531" t="s">
        <v>1878</v>
      </c>
      <c r="C531" t="s">
        <v>74</v>
      </c>
      <c r="D531" t="s">
        <v>74</v>
      </c>
      <c r="E531" t="s">
        <v>74</v>
      </c>
      <c r="F531" t="s">
        <v>1878</v>
      </c>
      <c r="G531" t="s">
        <v>74</v>
      </c>
      <c r="H531" t="s">
        <v>74</v>
      </c>
      <c r="I531" t="s">
        <v>7269</v>
      </c>
      <c r="J531" t="s">
        <v>4772</v>
      </c>
      <c r="K531" t="s">
        <v>74</v>
      </c>
      <c r="L531" t="s">
        <v>74</v>
      </c>
      <c r="M531" t="s">
        <v>77</v>
      </c>
      <c r="N531" t="s">
        <v>78</v>
      </c>
      <c r="O531" t="s">
        <v>74</v>
      </c>
      <c r="P531" t="s">
        <v>74</v>
      </c>
      <c r="Q531" t="s">
        <v>74</v>
      </c>
      <c r="R531" t="s">
        <v>74</v>
      </c>
      <c r="S531" t="s">
        <v>74</v>
      </c>
      <c r="T531" t="s">
        <v>74</v>
      </c>
      <c r="U531" t="s">
        <v>7270</v>
      </c>
      <c r="V531" t="s">
        <v>7271</v>
      </c>
      <c r="W531" t="s">
        <v>1882</v>
      </c>
      <c r="X531" t="s">
        <v>1883</v>
      </c>
      <c r="Y531" t="s">
        <v>7272</v>
      </c>
      <c r="Z531" t="s">
        <v>7273</v>
      </c>
      <c r="AA531" t="s">
        <v>74</v>
      </c>
      <c r="AB531" t="s">
        <v>1885</v>
      </c>
      <c r="AC531" t="s">
        <v>74</v>
      </c>
      <c r="AD531" t="s">
        <v>74</v>
      </c>
      <c r="AE531" t="s">
        <v>74</v>
      </c>
      <c r="AF531" t="s">
        <v>74</v>
      </c>
      <c r="AG531">
        <v>46</v>
      </c>
      <c r="AH531">
        <v>51</v>
      </c>
      <c r="AI531">
        <v>57</v>
      </c>
      <c r="AJ531">
        <v>0</v>
      </c>
      <c r="AK531">
        <v>9</v>
      </c>
      <c r="AL531" t="s">
        <v>1059</v>
      </c>
      <c r="AM531" t="s">
        <v>1060</v>
      </c>
      <c r="AN531" t="s">
        <v>1061</v>
      </c>
      <c r="AO531" t="s">
        <v>4798</v>
      </c>
      <c r="AP531" t="s">
        <v>4799</v>
      </c>
      <c r="AQ531" t="s">
        <v>74</v>
      </c>
      <c r="AR531" t="s">
        <v>4781</v>
      </c>
      <c r="AS531" t="s">
        <v>4782</v>
      </c>
      <c r="AT531" t="s">
        <v>7264</v>
      </c>
      <c r="AU531">
        <v>2000</v>
      </c>
      <c r="AV531">
        <v>105</v>
      </c>
      <c r="AW531" t="s">
        <v>7265</v>
      </c>
      <c r="AX531" t="s">
        <v>74</v>
      </c>
      <c r="AY531" t="s">
        <v>74</v>
      </c>
      <c r="AZ531" t="s">
        <v>74</v>
      </c>
      <c r="BA531" t="s">
        <v>74</v>
      </c>
      <c r="BB531">
        <v>24387</v>
      </c>
      <c r="BC531">
        <v>24407</v>
      </c>
      <c r="BD531" t="s">
        <v>74</v>
      </c>
      <c r="BE531" t="s">
        <v>7274</v>
      </c>
      <c r="BF531" t="str">
        <f>HYPERLINK("http://dx.doi.org/10.1029/2000JD900356","http://dx.doi.org/10.1029/2000JD900356")</f>
        <v>http://dx.doi.org/10.1029/2000JD900356</v>
      </c>
      <c r="BG531" t="s">
        <v>74</v>
      </c>
      <c r="BH531" t="s">
        <v>74</v>
      </c>
      <c r="BI531">
        <v>21</v>
      </c>
      <c r="BJ531" t="s">
        <v>167</v>
      </c>
      <c r="BK531" t="s">
        <v>94</v>
      </c>
      <c r="BL531" t="s">
        <v>167</v>
      </c>
      <c r="BM531" t="s">
        <v>7267</v>
      </c>
      <c r="BN531" t="s">
        <v>74</v>
      </c>
      <c r="BO531" t="s">
        <v>74</v>
      </c>
      <c r="BP531" t="s">
        <v>74</v>
      </c>
      <c r="BQ531" t="s">
        <v>74</v>
      </c>
      <c r="BR531" t="s">
        <v>97</v>
      </c>
      <c r="BS531" t="s">
        <v>7275</v>
      </c>
      <c r="BT531" t="str">
        <f>HYPERLINK("https%3A%2F%2Fwww.webofscience.com%2Fwos%2Fwoscc%2Ffull-record%2FWOS:000090029300016","View Full Record in Web of Science")</f>
        <v>View Full Record in Web of Science</v>
      </c>
    </row>
    <row r="532" spans="1:72" x14ac:dyDescent="0.15">
      <c r="A532" t="s">
        <v>72</v>
      </c>
      <c r="B532" t="s">
        <v>7276</v>
      </c>
      <c r="C532" t="s">
        <v>74</v>
      </c>
      <c r="D532" t="s">
        <v>74</v>
      </c>
      <c r="E532" t="s">
        <v>74</v>
      </c>
      <c r="F532" t="s">
        <v>7276</v>
      </c>
      <c r="G532" t="s">
        <v>74</v>
      </c>
      <c r="H532" t="s">
        <v>74</v>
      </c>
      <c r="I532" t="s">
        <v>7277</v>
      </c>
      <c r="J532" t="s">
        <v>4772</v>
      </c>
      <c r="K532" t="s">
        <v>74</v>
      </c>
      <c r="L532" t="s">
        <v>74</v>
      </c>
      <c r="M532" t="s">
        <v>77</v>
      </c>
      <c r="N532" t="s">
        <v>78</v>
      </c>
      <c r="O532" t="s">
        <v>74</v>
      </c>
      <c r="P532" t="s">
        <v>74</v>
      </c>
      <c r="Q532" t="s">
        <v>74</v>
      </c>
      <c r="R532" t="s">
        <v>74</v>
      </c>
      <c r="S532" t="s">
        <v>74</v>
      </c>
      <c r="T532" t="s">
        <v>74</v>
      </c>
      <c r="U532" t="s">
        <v>7278</v>
      </c>
      <c r="V532" t="s">
        <v>7279</v>
      </c>
      <c r="W532" t="s">
        <v>7280</v>
      </c>
      <c r="X532" t="s">
        <v>7281</v>
      </c>
      <c r="Y532" t="s">
        <v>7282</v>
      </c>
      <c r="Z532" t="s">
        <v>7283</v>
      </c>
      <c r="AA532" t="s">
        <v>7284</v>
      </c>
      <c r="AB532" t="s">
        <v>7285</v>
      </c>
      <c r="AC532" t="s">
        <v>74</v>
      </c>
      <c r="AD532" t="s">
        <v>74</v>
      </c>
      <c r="AE532" t="s">
        <v>74</v>
      </c>
      <c r="AF532" t="s">
        <v>74</v>
      </c>
      <c r="AG532">
        <v>41</v>
      </c>
      <c r="AH532">
        <v>119</v>
      </c>
      <c r="AI532">
        <v>141</v>
      </c>
      <c r="AJ532">
        <v>0</v>
      </c>
      <c r="AK532">
        <v>23</v>
      </c>
      <c r="AL532" t="s">
        <v>1059</v>
      </c>
      <c r="AM532" t="s">
        <v>1060</v>
      </c>
      <c r="AN532" t="s">
        <v>1061</v>
      </c>
      <c r="AO532" t="s">
        <v>4798</v>
      </c>
      <c r="AP532" t="s">
        <v>4799</v>
      </c>
      <c r="AQ532" t="s">
        <v>74</v>
      </c>
      <c r="AR532" t="s">
        <v>4781</v>
      </c>
      <c r="AS532" t="s">
        <v>4782</v>
      </c>
      <c r="AT532" t="s">
        <v>7264</v>
      </c>
      <c r="AU532">
        <v>2000</v>
      </c>
      <c r="AV532">
        <v>105</v>
      </c>
      <c r="AW532" t="s">
        <v>7265</v>
      </c>
      <c r="AX532" t="s">
        <v>74</v>
      </c>
      <c r="AY532" t="s">
        <v>74</v>
      </c>
      <c r="AZ532" t="s">
        <v>74</v>
      </c>
      <c r="BA532" t="s">
        <v>74</v>
      </c>
      <c r="BB532">
        <v>24431</v>
      </c>
      <c r="BC532">
        <v>24441</v>
      </c>
      <c r="BD532" t="s">
        <v>74</v>
      </c>
      <c r="BE532" t="s">
        <v>7286</v>
      </c>
      <c r="BF532" t="str">
        <f>HYPERLINK("http://dx.doi.org/10.1029/2000JD900254","http://dx.doi.org/10.1029/2000JD900254")</f>
        <v>http://dx.doi.org/10.1029/2000JD900254</v>
      </c>
      <c r="BG532" t="s">
        <v>74</v>
      </c>
      <c r="BH532" t="s">
        <v>74</v>
      </c>
      <c r="BI532">
        <v>11</v>
      </c>
      <c r="BJ532" t="s">
        <v>167</v>
      </c>
      <c r="BK532" t="s">
        <v>94</v>
      </c>
      <c r="BL532" t="s">
        <v>167</v>
      </c>
      <c r="BM532" t="s">
        <v>7267</v>
      </c>
      <c r="BN532" t="s">
        <v>74</v>
      </c>
      <c r="BO532" t="s">
        <v>1755</v>
      </c>
      <c r="BP532" t="s">
        <v>74</v>
      </c>
      <c r="BQ532" t="s">
        <v>74</v>
      </c>
      <c r="BR532" t="s">
        <v>97</v>
      </c>
      <c r="BS532" t="s">
        <v>7287</v>
      </c>
      <c r="BT532" t="str">
        <f>HYPERLINK("https%3A%2F%2Fwww.webofscience.com%2Fwos%2Fwoscc%2Ffull-record%2FWOS:000090029300018","View Full Record in Web of Science")</f>
        <v>View Full Record in Web of Science</v>
      </c>
    </row>
    <row r="533" spans="1:72" x14ac:dyDescent="0.15">
      <c r="A533" t="s">
        <v>72</v>
      </c>
      <c r="B533" t="s">
        <v>7288</v>
      </c>
      <c r="C533" t="s">
        <v>74</v>
      </c>
      <c r="D533" t="s">
        <v>74</v>
      </c>
      <c r="E533" t="s">
        <v>74</v>
      </c>
      <c r="F533" t="s">
        <v>7288</v>
      </c>
      <c r="G533" t="s">
        <v>74</v>
      </c>
      <c r="H533" t="s">
        <v>74</v>
      </c>
      <c r="I533" t="s">
        <v>7289</v>
      </c>
      <c r="J533" t="s">
        <v>4772</v>
      </c>
      <c r="K533" t="s">
        <v>74</v>
      </c>
      <c r="L533" t="s">
        <v>74</v>
      </c>
      <c r="M533" t="s">
        <v>77</v>
      </c>
      <c r="N533" t="s">
        <v>78</v>
      </c>
      <c r="O533" t="s">
        <v>74</v>
      </c>
      <c r="P533" t="s">
        <v>74</v>
      </c>
      <c r="Q533" t="s">
        <v>74</v>
      </c>
      <c r="R533" t="s">
        <v>74</v>
      </c>
      <c r="S533" t="s">
        <v>74</v>
      </c>
      <c r="T533" t="s">
        <v>74</v>
      </c>
      <c r="U533" t="s">
        <v>7290</v>
      </c>
      <c r="V533" t="s">
        <v>7291</v>
      </c>
      <c r="W533" t="s">
        <v>7292</v>
      </c>
      <c r="X533" t="s">
        <v>7293</v>
      </c>
      <c r="Y533" t="s">
        <v>7294</v>
      </c>
      <c r="Z533" t="s">
        <v>7295</v>
      </c>
      <c r="AA533" t="s">
        <v>2174</v>
      </c>
      <c r="AB533" t="s">
        <v>2175</v>
      </c>
      <c r="AC533" t="s">
        <v>74</v>
      </c>
      <c r="AD533" t="s">
        <v>74</v>
      </c>
      <c r="AE533" t="s">
        <v>74</v>
      </c>
      <c r="AF533" t="s">
        <v>74</v>
      </c>
      <c r="AG533">
        <v>49</v>
      </c>
      <c r="AH533">
        <v>124</v>
      </c>
      <c r="AI533">
        <v>135</v>
      </c>
      <c r="AJ533">
        <v>0</v>
      </c>
      <c r="AK533">
        <v>22</v>
      </c>
      <c r="AL533" t="s">
        <v>1059</v>
      </c>
      <c r="AM533" t="s">
        <v>1060</v>
      </c>
      <c r="AN533" t="s">
        <v>1061</v>
      </c>
      <c r="AO533" t="s">
        <v>4798</v>
      </c>
      <c r="AP533" t="s">
        <v>4799</v>
      </c>
      <c r="AQ533" t="s">
        <v>74</v>
      </c>
      <c r="AR533" t="s">
        <v>4781</v>
      </c>
      <c r="AS533" t="s">
        <v>4782</v>
      </c>
      <c r="AT533" t="s">
        <v>7264</v>
      </c>
      <c r="AU533">
        <v>2000</v>
      </c>
      <c r="AV533">
        <v>105</v>
      </c>
      <c r="AW533" t="s">
        <v>7265</v>
      </c>
      <c r="AX533" t="s">
        <v>74</v>
      </c>
      <c r="AY533" t="s">
        <v>74</v>
      </c>
      <c r="AZ533" t="s">
        <v>74</v>
      </c>
      <c r="BA533" t="s">
        <v>74</v>
      </c>
      <c r="BB533">
        <v>24491</v>
      </c>
      <c r="BC533">
        <v>24508</v>
      </c>
      <c r="BD533" t="s">
        <v>74</v>
      </c>
      <c r="BE533" t="s">
        <v>7296</v>
      </c>
      <c r="BF533" t="str">
        <f>HYPERLINK("http://dx.doi.org/10.1029/2000JD900247","http://dx.doi.org/10.1029/2000JD900247")</f>
        <v>http://dx.doi.org/10.1029/2000JD900247</v>
      </c>
      <c r="BG533" t="s">
        <v>74</v>
      </c>
      <c r="BH533" t="s">
        <v>74</v>
      </c>
      <c r="BI533">
        <v>18</v>
      </c>
      <c r="BJ533" t="s">
        <v>167</v>
      </c>
      <c r="BK533" t="s">
        <v>94</v>
      </c>
      <c r="BL533" t="s">
        <v>167</v>
      </c>
      <c r="BM533" t="s">
        <v>7267</v>
      </c>
      <c r="BN533" t="s">
        <v>74</v>
      </c>
      <c r="BO533" t="s">
        <v>74</v>
      </c>
      <c r="BP533" t="s">
        <v>74</v>
      </c>
      <c r="BQ533" t="s">
        <v>74</v>
      </c>
      <c r="BR533" t="s">
        <v>97</v>
      </c>
      <c r="BS533" t="s">
        <v>7297</v>
      </c>
      <c r="BT533" t="str">
        <f>HYPERLINK("https%3A%2F%2Fwww.webofscience.com%2Fwos%2Fwoscc%2Ffull-record%2FWOS:000090029300023","View Full Record in Web of Science")</f>
        <v>View Full Record in Web of Science</v>
      </c>
    </row>
    <row r="534" spans="1:72" x14ac:dyDescent="0.15">
      <c r="A534" t="s">
        <v>72</v>
      </c>
      <c r="B534" t="s">
        <v>7298</v>
      </c>
      <c r="C534" t="s">
        <v>74</v>
      </c>
      <c r="D534" t="s">
        <v>74</v>
      </c>
      <c r="E534" t="s">
        <v>74</v>
      </c>
      <c r="F534" t="s">
        <v>7298</v>
      </c>
      <c r="G534" t="s">
        <v>74</v>
      </c>
      <c r="H534" t="s">
        <v>74</v>
      </c>
      <c r="I534" t="s">
        <v>7299</v>
      </c>
      <c r="J534" t="s">
        <v>1053</v>
      </c>
      <c r="K534" t="s">
        <v>74</v>
      </c>
      <c r="L534" t="s">
        <v>74</v>
      </c>
      <c r="M534" t="s">
        <v>77</v>
      </c>
      <c r="N534" t="s">
        <v>78</v>
      </c>
      <c r="O534" t="s">
        <v>74</v>
      </c>
      <c r="P534" t="s">
        <v>74</v>
      </c>
      <c r="Q534" t="s">
        <v>74</v>
      </c>
      <c r="R534" t="s">
        <v>74</v>
      </c>
      <c r="S534" t="s">
        <v>74</v>
      </c>
      <c r="T534" t="s">
        <v>74</v>
      </c>
      <c r="U534" t="s">
        <v>7300</v>
      </c>
      <c r="V534" t="s">
        <v>7301</v>
      </c>
      <c r="W534" t="s">
        <v>7302</v>
      </c>
      <c r="X534" t="s">
        <v>7303</v>
      </c>
      <c r="Y534" t="s">
        <v>7304</v>
      </c>
      <c r="Z534" t="s">
        <v>74</v>
      </c>
      <c r="AA534" t="s">
        <v>74</v>
      </c>
      <c r="AB534" t="s">
        <v>74</v>
      </c>
      <c r="AC534" t="s">
        <v>74</v>
      </c>
      <c r="AD534" t="s">
        <v>74</v>
      </c>
      <c r="AE534" t="s">
        <v>74</v>
      </c>
      <c r="AF534" t="s">
        <v>74</v>
      </c>
      <c r="AG534">
        <v>23</v>
      </c>
      <c r="AH534">
        <v>25</v>
      </c>
      <c r="AI534">
        <v>26</v>
      </c>
      <c r="AJ534">
        <v>0</v>
      </c>
      <c r="AK534">
        <v>0</v>
      </c>
      <c r="AL534" t="s">
        <v>1059</v>
      </c>
      <c r="AM534" t="s">
        <v>1060</v>
      </c>
      <c r="AN534" t="s">
        <v>1061</v>
      </c>
      <c r="AO534" t="s">
        <v>1062</v>
      </c>
      <c r="AP534" t="s">
        <v>74</v>
      </c>
      <c r="AQ534" t="s">
        <v>74</v>
      </c>
      <c r="AR534" t="s">
        <v>1063</v>
      </c>
      <c r="AS534" t="s">
        <v>1064</v>
      </c>
      <c r="AT534" t="s">
        <v>7305</v>
      </c>
      <c r="AU534">
        <v>2000</v>
      </c>
      <c r="AV534">
        <v>27</v>
      </c>
      <c r="AW534">
        <v>20</v>
      </c>
      <c r="AX534" t="s">
        <v>74</v>
      </c>
      <c r="AY534" t="s">
        <v>74</v>
      </c>
      <c r="AZ534" t="s">
        <v>74</v>
      </c>
      <c r="BA534" t="s">
        <v>74</v>
      </c>
      <c r="BB534">
        <v>3313</v>
      </c>
      <c r="BC534">
        <v>3316</v>
      </c>
      <c r="BD534" t="s">
        <v>74</v>
      </c>
      <c r="BE534" t="s">
        <v>7306</v>
      </c>
      <c r="BF534" t="str">
        <f>HYPERLINK("http://dx.doi.org/10.1029/2000GL011700","http://dx.doi.org/10.1029/2000GL011700")</f>
        <v>http://dx.doi.org/10.1029/2000GL011700</v>
      </c>
      <c r="BG534" t="s">
        <v>74</v>
      </c>
      <c r="BH534" t="s">
        <v>74</v>
      </c>
      <c r="BI534">
        <v>4</v>
      </c>
      <c r="BJ534" t="s">
        <v>595</v>
      </c>
      <c r="BK534" t="s">
        <v>94</v>
      </c>
      <c r="BL534" t="s">
        <v>597</v>
      </c>
      <c r="BM534" t="s">
        <v>7307</v>
      </c>
      <c r="BN534" t="s">
        <v>74</v>
      </c>
      <c r="BO534" t="s">
        <v>1755</v>
      </c>
      <c r="BP534" t="s">
        <v>74</v>
      </c>
      <c r="BQ534" t="s">
        <v>74</v>
      </c>
      <c r="BR534" t="s">
        <v>97</v>
      </c>
      <c r="BS534" t="s">
        <v>7308</v>
      </c>
      <c r="BT534" t="str">
        <f>HYPERLINK("https%3A%2F%2Fwww.webofscience.com%2Fwos%2Fwoscc%2Ffull-record%2FWOS:000089964700021","View Full Record in Web of Science")</f>
        <v>View Full Record in Web of Science</v>
      </c>
    </row>
    <row r="535" spans="1:72" x14ac:dyDescent="0.15">
      <c r="A535" t="s">
        <v>72</v>
      </c>
      <c r="B535" t="s">
        <v>7309</v>
      </c>
      <c r="C535" t="s">
        <v>74</v>
      </c>
      <c r="D535" t="s">
        <v>74</v>
      </c>
      <c r="E535" t="s">
        <v>74</v>
      </c>
      <c r="F535" t="s">
        <v>7309</v>
      </c>
      <c r="G535" t="s">
        <v>74</v>
      </c>
      <c r="H535" t="s">
        <v>74</v>
      </c>
      <c r="I535" t="s">
        <v>7310</v>
      </c>
      <c r="J535" t="s">
        <v>4907</v>
      </c>
      <c r="K535" t="s">
        <v>74</v>
      </c>
      <c r="L535" t="s">
        <v>74</v>
      </c>
      <c r="M535" t="s">
        <v>77</v>
      </c>
      <c r="N535" t="s">
        <v>78</v>
      </c>
      <c r="O535" t="s">
        <v>74</v>
      </c>
      <c r="P535" t="s">
        <v>74</v>
      </c>
      <c r="Q535" t="s">
        <v>74</v>
      </c>
      <c r="R535" t="s">
        <v>74</v>
      </c>
      <c r="S535" t="s">
        <v>74</v>
      </c>
      <c r="T535" t="s">
        <v>74</v>
      </c>
      <c r="U535" t="s">
        <v>7311</v>
      </c>
      <c r="V535" t="s">
        <v>7312</v>
      </c>
      <c r="W535" t="s">
        <v>833</v>
      </c>
      <c r="X535" t="s">
        <v>221</v>
      </c>
      <c r="Y535" t="s">
        <v>7313</v>
      </c>
      <c r="Z535" t="s">
        <v>7314</v>
      </c>
      <c r="AA535" t="s">
        <v>7315</v>
      </c>
      <c r="AB535" t="s">
        <v>3078</v>
      </c>
      <c r="AC535" t="s">
        <v>74</v>
      </c>
      <c r="AD535" t="s">
        <v>74</v>
      </c>
      <c r="AE535" t="s">
        <v>74</v>
      </c>
      <c r="AF535" t="s">
        <v>74</v>
      </c>
      <c r="AG535">
        <v>42</v>
      </c>
      <c r="AH535">
        <v>39</v>
      </c>
      <c r="AI535">
        <v>41</v>
      </c>
      <c r="AJ535">
        <v>0</v>
      </c>
      <c r="AK535">
        <v>8</v>
      </c>
      <c r="AL535" t="s">
        <v>1059</v>
      </c>
      <c r="AM535" t="s">
        <v>1060</v>
      </c>
      <c r="AN535" t="s">
        <v>1061</v>
      </c>
      <c r="AO535" t="s">
        <v>4916</v>
      </c>
      <c r="AP535" t="s">
        <v>4917</v>
      </c>
      <c r="AQ535" t="s">
        <v>74</v>
      </c>
      <c r="AR535" t="s">
        <v>4918</v>
      </c>
      <c r="AS535" t="s">
        <v>4919</v>
      </c>
      <c r="AT535" t="s">
        <v>7305</v>
      </c>
      <c r="AU535">
        <v>2000</v>
      </c>
      <c r="AV535">
        <v>105</v>
      </c>
      <c r="AW535" t="s">
        <v>7316</v>
      </c>
      <c r="AX535" t="s">
        <v>74</v>
      </c>
      <c r="AY535" t="s">
        <v>74</v>
      </c>
      <c r="AZ535" t="s">
        <v>74</v>
      </c>
      <c r="BA535" t="s">
        <v>74</v>
      </c>
      <c r="BB535">
        <v>23983</v>
      </c>
      <c r="BC535">
        <v>23996</v>
      </c>
      <c r="BD535" t="s">
        <v>74</v>
      </c>
      <c r="BE535" t="s">
        <v>7317</v>
      </c>
      <c r="BF535" t="str">
        <f>HYPERLINK("http://dx.doi.org/10.1029/2000JC900098","http://dx.doi.org/10.1029/2000JC900098")</f>
        <v>http://dx.doi.org/10.1029/2000JC900098</v>
      </c>
      <c r="BG535" t="s">
        <v>74</v>
      </c>
      <c r="BH535" t="s">
        <v>74</v>
      </c>
      <c r="BI535">
        <v>14</v>
      </c>
      <c r="BJ535" t="s">
        <v>252</v>
      </c>
      <c r="BK535" t="s">
        <v>94</v>
      </c>
      <c r="BL535" t="s">
        <v>252</v>
      </c>
      <c r="BM535" t="s">
        <v>7318</v>
      </c>
      <c r="BN535" t="s">
        <v>74</v>
      </c>
      <c r="BO535" t="s">
        <v>1755</v>
      </c>
      <c r="BP535" t="s">
        <v>74</v>
      </c>
      <c r="BQ535" t="s">
        <v>74</v>
      </c>
      <c r="BR535" t="s">
        <v>97</v>
      </c>
      <c r="BS535" t="s">
        <v>7319</v>
      </c>
      <c r="BT535" t="str">
        <f>HYPERLINK("https%3A%2F%2Fwww.webofscience.com%2Fwos%2Fwoscc%2Ffull-record%2FWOS:000089921000005","View Full Record in Web of Science")</f>
        <v>View Full Record in Web of Science</v>
      </c>
    </row>
    <row r="536" spans="1:72" x14ac:dyDescent="0.15">
      <c r="A536" t="s">
        <v>72</v>
      </c>
      <c r="B536" t="s">
        <v>7320</v>
      </c>
      <c r="C536" t="s">
        <v>74</v>
      </c>
      <c r="D536" t="s">
        <v>74</v>
      </c>
      <c r="E536" t="s">
        <v>74</v>
      </c>
      <c r="F536" t="s">
        <v>7320</v>
      </c>
      <c r="G536" t="s">
        <v>74</v>
      </c>
      <c r="H536" t="s">
        <v>74</v>
      </c>
      <c r="I536" t="s">
        <v>7321</v>
      </c>
      <c r="J536" t="s">
        <v>7322</v>
      </c>
      <c r="K536" t="s">
        <v>74</v>
      </c>
      <c r="L536" t="s">
        <v>74</v>
      </c>
      <c r="M536" t="s">
        <v>77</v>
      </c>
      <c r="N536" t="s">
        <v>78</v>
      </c>
      <c r="O536" t="s">
        <v>74</v>
      </c>
      <c r="P536" t="s">
        <v>74</v>
      </c>
      <c r="Q536" t="s">
        <v>74</v>
      </c>
      <c r="R536" t="s">
        <v>74</v>
      </c>
      <c r="S536" t="s">
        <v>74</v>
      </c>
      <c r="T536" t="s">
        <v>7323</v>
      </c>
      <c r="U536" t="s">
        <v>7324</v>
      </c>
      <c r="V536" t="s">
        <v>7325</v>
      </c>
      <c r="W536" t="s">
        <v>7326</v>
      </c>
      <c r="X536" t="s">
        <v>7327</v>
      </c>
      <c r="Y536" t="s">
        <v>7328</v>
      </c>
      <c r="Z536" t="s">
        <v>74</v>
      </c>
      <c r="AA536" t="s">
        <v>7329</v>
      </c>
      <c r="AB536" t="s">
        <v>7330</v>
      </c>
      <c r="AC536" t="s">
        <v>74</v>
      </c>
      <c r="AD536" t="s">
        <v>74</v>
      </c>
      <c r="AE536" t="s">
        <v>74</v>
      </c>
      <c r="AF536" t="s">
        <v>74</v>
      </c>
      <c r="AG536">
        <v>79</v>
      </c>
      <c r="AH536">
        <v>164</v>
      </c>
      <c r="AI536">
        <v>190</v>
      </c>
      <c r="AJ536">
        <v>0</v>
      </c>
      <c r="AK536">
        <v>13</v>
      </c>
      <c r="AL536" t="s">
        <v>1120</v>
      </c>
      <c r="AM536" t="s">
        <v>1121</v>
      </c>
      <c r="AN536" t="s">
        <v>2394</v>
      </c>
      <c r="AO536" t="s">
        <v>7331</v>
      </c>
      <c r="AP536" t="s">
        <v>74</v>
      </c>
      <c r="AQ536" t="s">
        <v>74</v>
      </c>
      <c r="AR536" t="s">
        <v>7332</v>
      </c>
      <c r="AS536" t="s">
        <v>7333</v>
      </c>
      <c r="AT536" t="s">
        <v>7305</v>
      </c>
      <c r="AU536">
        <v>2000</v>
      </c>
      <c r="AV536">
        <v>104</v>
      </c>
      <c r="AW536" t="s">
        <v>870</v>
      </c>
      <c r="AX536" t="s">
        <v>74</v>
      </c>
      <c r="AY536" t="s">
        <v>74</v>
      </c>
      <c r="AZ536" t="s">
        <v>74</v>
      </c>
      <c r="BA536" t="s">
        <v>74</v>
      </c>
      <c r="BB536">
        <v>1</v>
      </c>
      <c r="BC536">
        <v>24</v>
      </c>
      <c r="BD536" t="s">
        <v>74</v>
      </c>
      <c r="BE536" t="s">
        <v>7334</v>
      </c>
      <c r="BF536" t="str">
        <f>HYPERLINK("http://dx.doi.org/10.1016/S0301-9268(00)00079-6","http://dx.doi.org/10.1016/S0301-9268(00)00079-6")</f>
        <v>http://dx.doi.org/10.1016/S0301-9268(00)00079-6</v>
      </c>
      <c r="BG536" t="s">
        <v>74</v>
      </c>
      <c r="BH536" t="s">
        <v>74</v>
      </c>
      <c r="BI536">
        <v>24</v>
      </c>
      <c r="BJ536" t="s">
        <v>595</v>
      </c>
      <c r="BK536" t="s">
        <v>94</v>
      </c>
      <c r="BL536" t="s">
        <v>597</v>
      </c>
      <c r="BM536" t="s">
        <v>7335</v>
      </c>
      <c r="BN536" t="s">
        <v>74</v>
      </c>
      <c r="BO536" t="s">
        <v>74</v>
      </c>
      <c r="BP536" t="s">
        <v>74</v>
      </c>
      <c r="BQ536" t="s">
        <v>74</v>
      </c>
      <c r="BR536" t="s">
        <v>97</v>
      </c>
      <c r="BS536" t="s">
        <v>7336</v>
      </c>
      <c r="BT536" t="str">
        <f>HYPERLINK("https%3A%2F%2Fwww.webofscience.com%2Fwos%2Fwoscc%2Ffull-record%2FWOS:000089546200001","View Full Record in Web of Science")</f>
        <v>View Full Record in Web of Science</v>
      </c>
    </row>
    <row r="537" spans="1:72" x14ac:dyDescent="0.15">
      <c r="A537" t="s">
        <v>72</v>
      </c>
      <c r="B537" t="s">
        <v>7337</v>
      </c>
      <c r="C537" t="s">
        <v>74</v>
      </c>
      <c r="D537" t="s">
        <v>74</v>
      </c>
      <c r="E537" t="s">
        <v>74</v>
      </c>
      <c r="F537" t="s">
        <v>7337</v>
      </c>
      <c r="G537" t="s">
        <v>74</v>
      </c>
      <c r="H537" t="s">
        <v>74</v>
      </c>
      <c r="I537" t="s">
        <v>7338</v>
      </c>
      <c r="J537" t="s">
        <v>7339</v>
      </c>
      <c r="K537" t="s">
        <v>74</v>
      </c>
      <c r="L537" t="s">
        <v>74</v>
      </c>
      <c r="M537" t="s">
        <v>77</v>
      </c>
      <c r="N537" t="s">
        <v>7340</v>
      </c>
      <c r="O537" t="s">
        <v>74</v>
      </c>
      <c r="P537" t="s">
        <v>74</v>
      </c>
      <c r="Q537" t="s">
        <v>74</v>
      </c>
      <c r="R537" t="s">
        <v>74</v>
      </c>
      <c r="S537" t="s">
        <v>74</v>
      </c>
      <c r="T537" t="s">
        <v>74</v>
      </c>
      <c r="U537" t="s">
        <v>74</v>
      </c>
      <c r="V537" t="s">
        <v>74</v>
      </c>
      <c r="W537" t="s">
        <v>74</v>
      </c>
      <c r="X537" t="s">
        <v>74</v>
      </c>
      <c r="Y537" t="s">
        <v>74</v>
      </c>
      <c r="Z537" t="s">
        <v>74</v>
      </c>
      <c r="AA537" t="s">
        <v>7341</v>
      </c>
      <c r="AB537" t="s">
        <v>7342</v>
      </c>
      <c r="AC537" t="s">
        <v>74</v>
      </c>
      <c r="AD537" t="s">
        <v>74</v>
      </c>
      <c r="AE537" t="s">
        <v>74</v>
      </c>
      <c r="AF537" t="s">
        <v>74</v>
      </c>
      <c r="AG537">
        <v>1</v>
      </c>
      <c r="AH537">
        <v>0</v>
      </c>
      <c r="AI537">
        <v>0</v>
      </c>
      <c r="AJ537">
        <v>0</v>
      </c>
      <c r="AK537">
        <v>0</v>
      </c>
      <c r="AL537" t="s">
        <v>7343</v>
      </c>
      <c r="AM537" t="s">
        <v>7344</v>
      </c>
      <c r="AN537" t="s">
        <v>7345</v>
      </c>
      <c r="AO537" t="s">
        <v>7346</v>
      </c>
      <c r="AP537" t="s">
        <v>74</v>
      </c>
      <c r="AQ537" t="s">
        <v>74</v>
      </c>
      <c r="AR537" t="s">
        <v>7347</v>
      </c>
      <c r="AS537" t="s">
        <v>7348</v>
      </c>
      <c r="AT537" t="s">
        <v>7349</v>
      </c>
      <c r="AU537">
        <v>2000</v>
      </c>
      <c r="AV537">
        <v>168</v>
      </c>
      <c r="AW537">
        <v>2260</v>
      </c>
      <c r="AX537" t="s">
        <v>74</v>
      </c>
      <c r="AY537" t="s">
        <v>74</v>
      </c>
      <c r="AZ537" t="s">
        <v>74</v>
      </c>
      <c r="BA537" t="s">
        <v>74</v>
      </c>
      <c r="BB537">
        <v>10</v>
      </c>
      <c r="BC537">
        <v>10</v>
      </c>
      <c r="BD537" t="s">
        <v>74</v>
      </c>
      <c r="BE537" t="s">
        <v>74</v>
      </c>
      <c r="BF537" t="s">
        <v>74</v>
      </c>
      <c r="BG537" t="s">
        <v>74</v>
      </c>
      <c r="BH537" t="s">
        <v>74</v>
      </c>
      <c r="BI537">
        <v>1</v>
      </c>
      <c r="BJ537" t="s">
        <v>93</v>
      </c>
      <c r="BK537" t="s">
        <v>94</v>
      </c>
      <c r="BL537" t="s">
        <v>95</v>
      </c>
      <c r="BM537" t="s">
        <v>7350</v>
      </c>
      <c r="BN537" t="s">
        <v>74</v>
      </c>
      <c r="BO537" t="s">
        <v>74</v>
      </c>
      <c r="BP537" t="s">
        <v>74</v>
      </c>
      <c r="BQ537" t="s">
        <v>74</v>
      </c>
      <c r="BR537" t="s">
        <v>97</v>
      </c>
      <c r="BS537" t="s">
        <v>7351</v>
      </c>
      <c r="BT537" t="str">
        <f>HYPERLINK("https%3A%2F%2Fwww.webofscience.com%2Fwos%2Fwoscc%2Ffull-record%2FWOS:000089829600008","View Full Record in Web of Science")</f>
        <v>View Full Record in Web of Science</v>
      </c>
    </row>
    <row r="538" spans="1:72" x14ac:dyDescent="0.15">
      <c r="A538" t="s">
        <v>72</v>
      </c>
      <c r="B538" t="s">
        <v>7352</v>
      </c>
      <c r="C538" t="s">
        <v>74</v>
      </c>
      <c r="D538" t="s">
        <v>74</v>
      </c>
      <c r="E538" t="s">
        <v>74</v>
      </c>
      <c r="F538" t="s">
        <v>7352</v>
      </c>
      <c r="G538" t="s">
        <v>74</v>
      </c>
      <c r="H538" t="s">
        <v>74</v>
      </c>
      <c r="I538" t="s">
        <v>7353</v>
      </c>
      <c r="J538" t="s">
        <v>7354</v>
      </c>
      <c r="K538" t="s">
        <v>74</v>
      </c>
      <c r="L538" t="s">
        <v>74</v>
      </c>
      <c r="M538" t="s">
        <v>77</v>
      </c>
      <c r="N538" t="s">
        <v>78</v>
      </c>
      <c r="O538" t="s">
        <v>74</v>
      </c>
      <c r="P538" t="s">
        <v>74</v>
      </c>
      <c r="Q538" t="s">
        <v>74</v>
      </c>
      <c r="R538" t="s">
        <v>74</v>
      </c>
      <c r="S538" t="s">
        <v>74</v>
      </c>
      <c r="T538" t="s">
        <v>74</v>
      </c>
      <c r="U538" t="s">
        <v>7355</v>
      </c>
      <c r="V538" t="s">
        <v>7356</v>
      </c>
      <c r="W538" t="s">
        <v>7357</v>
      </c>
      <c r="X538" t="s">
        <v>7358</v>
      </c>
      <c r="Y538" t="s">
        <v>7359</v>
      </c>
      <c r="Z538" t="s">
        <v>74</v>
      </c>
      <c r="AA538" t="s">
        <v>7360</v>
      </c>
      <c r="AB538" t="s">
        <v>7361</v>
      </c>
      <c r="AC538" t="s">
        <v>74</v>
      </c>
      <c r="AD538" t="s">
        <v>74</v>
      </c>
      <c r="AE538" t="s">
        <v>74</v>
      </c>
      <c r="AF538" t="s">
        <v>74</v>
      </c>
      <c r="AG538">
        <v>54</v>
      </c>
      <c r="AH538">
        <v>1224</v>
      </c>
      <c r="AI538">
        <v>1402</v>
      </c>
      <c r="AJ538">
        <v>17</v>
      </c>
      <c r="AK538">
        <v>716</v>
      </c>
      <c r="AL538" t="s">
        <v>7362</v>
      </c>
      <c r="AM538" t="s">
        <v>1208</v>
      </c>
      <c r="AN538" t="s">
        <v>7363</v>
      </c>
      <c r="AO538" t="s">
        <v>7364</v>
      </c>
      <c r="AP538" t="s">
        <v>74</v>
      </c>
      <c r="AQ538" t="s">
        <v>74</v>
      </c>
      <c r="AR538" t="s">
        <v>7354</v>
      </c>
      <c r="AS538" t="s">
        <v>7365</v>
      </c>
      <c r="AT538" t="s">
        <v>7366</v>
      </c>
      <c r="AU538">
        <v>2000</v>
      </c>
      <c r="AV538">
        <v>407</v>
      </c>
      <c r="AW538">
        <v>6805</v>
      </c>
      <c r="AX538" t="s">
        <v>74</v>
      </c>
      <c r="AY538" t="s">
        <v>74</v>
      </c>
      <c r="AZ538" t="s">
        <v>74</v>
      </c>
      <c r="BA538" t="s">
        <v>74</v>
      </c>
      <c r="BB538">
        <v>695</v>
      </c>
      <c r="BC538">
        <v>702</v>
      </c>
      <c r="BD538" t="s">
        <v>74</v>
      </c>
      <c r="BE538" t="s">
        <v>7367</v>
      </c>
      <c r="BF538" t="str">
        <f>HYPERLINK("http://dx.doi.org/10.1038/35037500","http://dx.doi.org/10.1038/35037500")</f>
        <v>http://dx.doi.org/10.1038/35037500</v>
      </c>
      <c r="BG538" t="s">
        <v>74</v>
      </c>
      <c r="BH538" t="s">
        <v>74</v>
      </c>
      <c r="BI538">
        <v>8</v>
      </c>
      <c r="BJ538" t="s">
        <v>93</v>
      </c>
      <c r="BK538" t="s">
        <v>94</v>
      </c>
      <c r="BL538" t="s">
        <v>95</v>
      </c>
      <c r="BM538" t="s">
        <v>7368</v>
      </c>
      <c r="BN538">
        <v>11048709</v>
      </c>
      <c r="BO538" t="s">
        <v>74</v>
      </c>
      <c r="BP538" t="s">
        <v>74</v>
      </c>
      <c r="BQ538" t="s">
        <v>74</v>
      </c>
      <c r="BR538" t="s">
        <v>97</v>
      </c>
      <c r="BS538" t="s">
        <v>7369</v>
      </c>
      <c r="BT538" t="str">
        <f>HYPERLINK("https%3A%2F%2Fwww.webofscience.com%2Fwos%2Fwoscc%2Ffull-record%2FWOS:000089773900031","View Full Record in Web of Science")</f>
        <v>View Full Record in Web of Science</v>
      </c>
    </row>
    <row r="539" spans="1:72" x14ac:dyDescent="0.15">
      <c r="A539" t="s">
        <v>72</v>
      </c>
      <c r="B539" t="s">
        <v>7370</v>
      </c>
      <c r="C539" t="s">
        <v>74</v>
      </c>
      <c r="D539" t="s">
        <v>74</v>
      </c>
      <c r="E539" t="s">
        <v>74</v>
      </c>
      <c r="F539" t="s">
        <v>7370</v>
      </c>
      <c r="G539" t="s">
        <v>74</v>
      </c>
      <c r="H539" t="s">
        <v>74</v>
      </c>
      <c r="I539" t="s">
        <v>7371</v>
      </c>
      <c r="J539" t="s">
        <v>4967</v>
      </c>
      <c r="K539" t="s">
        <v>74</v>
      </c>
      <c r="L539" t="s">
        <v>74</v>
      </c>
      <c r="M539" t="s">
        <v>77</v>
      </c>
      <c r="N539" t="s">
        <v>78</v>
      </c>
      <c r="O539" t="s">
        <v>74</v>
      </c>
      <c r="P539" t="s">
        <v>74</v>
      </c>
      <c r="Q539" t="s">
        <v>74</v>
      </c>
      <c r="R539" t="s">
        <v>74</v>
      </c>
      <c r="S539" t="s">
        <v>74</v>
      </c>
      <c r="T539" t="s">
        <v>74</v>
      </c>
      <c r="U539" t="s">
        <v>7372</v>
      </c>
      <c r="V539" t="s">
        <v>7373</v>
      </c>
      <c r="W539" t="s">
        <v>7374</v>
      </c>
      <c r="X539" t="s">
        <v>1868</v>
      </c>
      <c r="Y539" t="s">
        <v>7375</v>
      </c>
      <c r="Z539" t="s">
        <v>7376</v>
      </c>
      <c r="AA539" t="s">
        <v>74</v>
      </c>
      <c r="AB539" t="s">
        <v>74</v>
      </c>
      <c r="AC539" t="s">
        <v>74</v>
      </c>
      <c r="AD539" t="s">
        <v>74</v>
      </c>
      <c r="AE539" t="s">
        <v>74</v>
      </c>
      <c r="AF539" t="s">
        <v>74</v>
      </c>
      <c r="AG539">
        <v>29</v>
      </c>
      <c r="AH539">
        <v>1806</v>
      </c>
      <c r="AI539">
        <v>2011</v>
      </c>
      <c r="AJ539">
        <v>3</v>
      </c>
      <c r="AK539">
        <v>86</v>
      </c>
      <c r="AL539" t="s">
        <v>1059</v>
      </c>
      <c r="AM539" t="s">
        <v>1060</v>
      </c>
      <c r="AN539" t="s">
        <v>1061</v>
      </c>
      <c r="AO539" t="s">
        <v>4973</v>
      </c>
      <c r="AP539" t="s">
        <v>4974</v>
      </c>
      <c r="AQ539" t="s">
        <v>74</v>
      </c>
      <c r="AR539" t="s">
        <v>4975</v>
      </c>
      <c r="AS539" t="s">
        <v>4976</v>
      </c>
      <c r="AT539" t="s">
        <v>7377</v>
      </c>
      <c r="AU539">
        <v>2000</v>
      </c>
      <c r="AV539">
        <v>105</v>
      </c>
      <c r="AW539" t="s">
        <v>7378</v>
      </c>
      <c r="AX539" t="s">
        <v>74</v>
      </c>
      <c r="AY539" t="s">
        <v>74</v>
      </c>
      <c r="AZ539" t="s">
        <v>74</v>
      </c>
      <c r="BA539" t="s">
        <v>74</v>
      </c>
      <c r="BB539">
        <v>23753</v>
      </c>
      <c r="BC539">
        <v>23759</v>
      </c>
      <c r="BD539" t="s">
        <v>74</v>
      </c>
      <c r="BE539" t="s">
        <v>7379</v>
      </c>
      <c r="BF539" t="str">
        <f>HYPERLINK("http://dx.doi.org/10.1029/2000JB900181","http://dx.doi.org/10.1029/2000JB900181")</f>
        <v>http://dx.doi.org/10.1029/2000JB900181</v>
      </c>
      <c r="BG539" t="s">
        <v>74</v>
      </c>
      <c r="BH539" t="s">
        <v>74</v>
      </c>
      <c r="BI539">
        <v>7</v>
      </c>
      <c r="BJ539" t="s">
        <v>953</v>
      </c>
      <c r="BK539" t="s">
        <v>94</v>
      </c>
      <c r="BL539" t="s">
        <v>953</v>
      </c>
      <c r="BM539" t="s">
        <v>7380</v>
      </c>
      <c r="BN539" t="s">
        <v>74</v>
      </c>
      <c r="BO539" t="s">
        <v>1755</v>
      </c>
      <c r="BP539" t="s">
        <v>74</v>
      </c>
      <c r="BQ539" t="s">
        <v>74</v>
      </c>
      <c r="BR539" t="s">
        <v>97</v>
      </c>
      <c r="BS539" t="s">
        <v>7381</v>
      </c>
      <c r="BT539" t="str">
        <f>HYPERLINK("https%3A%2F%2Fwww.webofscience.com%2Fwos%2Fwoscc%2Ffull-record%2FWOS:000089895700027","View Full Record in Web of Science")</f>
        <v>View Full Record in Web of Science</v>
      </c>
    </row>
    <row r="540" spans="1:72" x14ac:dyDescent="0.15">
      <c r="A540" t="s">
        <v>72</v>
      </c>
      <c r="B540" t="s">
        <v>7382</v>
      </c>
      <c r="C540" t="s">
        <v>74</v>
      </c>
      <c r="D540" t="s">
        <v>74</v>
      </c>
      <c r="E540" t="s">
        <v>74</v>
      </c>
      <c r="F540" t="s">
        <v>7382</v>
      </c>
      <c r="G540" t="s">
        <v>74</v>
      </c>
      <c r="H540" t="s">
        <v>74</v>
      </c>
      <c r="I540" t="s">
        <v>7383</v>
      </c>
      <c r="J540" t="s">
        <v>4967</v>
      </c>
      <c r="K540" t="s">
        <v>74</v>
      </c>
      <c r="L540" t="s">
        <v>74</v>
      </c>
      <c r="M540" t="s">
        <v>77</v>
      </c>
      <c r="N540" t="s">
        <v>78</v>
      </c>
      <c r="O540" t="s">
        <v>74</v>
      </c>
      <c r="P540" t="s">
        <v>74</v>
      </c>
      <c r="Q540" t="s">
        <v>74</v>
      </c>
      <c r="R540" t="s">
        <v>74</v>
      </c>
      <c r="S540" t="s">
        <v>74</v>
      </c>
      <c r="T540" t="s">
        <v>74</v>
      </c>
      <c r="U540" t="s">
        <v>7384</v>
      </c>
      <c r="V540" t="s">
        <v>7385</v>
      </c>
      <c r="W540" t="s">
        <v>7386</v>
      </c>
      <c r="X540" t="s">
        <v>7387</v>
      </c>
      <c r="Y540" t="s">
        <v>7388</v>
      </c>
      <c r="Z540" t="s">
        <v>7389</v>
      </c>
      <c r="AA540" t="s">
        <v>7390</v>
      </c>
      <c r="AB540" t="s">
        <v>7391</v>
      </c>
      <c r="AC540" t="s">
        <v>74</v>
      </c>
      <c r="AD540" t="s">
        <v>74</v>
      </c>
      <c r="AE540" t="s">
        <v>74</v>
      </c>
      <c r="AF540" t="s">
        <v>74</v>
      </c>
      <c r="AG540">
        <v>24</v>
      </c>
      <c r="AH540">
        <v>27</v>
      </c>
      <c r="AI540">
        <v>29</v>
      </c>
      <c r="AJ540">
        <v>0</v>
      </c>
      <c r="AK540">
        <v>3</v>
      </c>
      <c r="AL540" t="s">
        <v>1059</v>
      </c>
      <c r="AM540" t="s">
        <v>1060</v>
      </c>
      <c r="AN540" t="s">
        <v>1061</v>
      </c>
      <c r="AO540" t="s">
        <v>4973</v>
      </c>
      <c r="AP540" t="s">
        <v>4974</v>
      </c>
      <c r="AQ540" t="s">
        <v>74</v>
      </c>
      <c r="AR540" t="s">
        <v>4975</v>
      </c>
      <c r="AS540" t="s">
        <v>4976</v>
      </c>
      <c r="AT540" t="s">
        <v>7377</v>
      </c>
      <c r="AU540">
        <v>2000</v>
      </c>
      <c r="AV540">
        <v>105</v>
      </c>
      <c r="AW540" t="s">
        <v>7378</v>
      </c>
      <c r="AX540" t="s">
        <v>74</v>
      </c>
      <c r="AY540" t="s">
        <v>74</v>
      </c>
      <c r="AZ540" t="s">
        <v>74</v>
      </c>
      <c r="BA540" t="s">
        <v>74</v>
      </c>
      <c r="BB540">
        <v>23825</v>
      </c>
      <c r="BC540">
        <v>23838</v>
      </c>
      <c r="BD540" t="s">
        <v>74</v>
      </c>
      <c r="BE540" t="s">
        <v>7392</v>
      </c>
      <c r="BF540" t="str">
        <f>HYPERLINK("http://dx.doi.org/10.1029/2000JB900246","http://dx.doi.org/10.1029/2000JB900246")</f>
        <v>http://dx.doi.org/10.1029/2000JB900246</v>
      </c>
      <c r="BG540" t="s">
        <v>74</v>
      </c>
      <c r="BH540" t="s">
        <v>74</v>
      </c>
      <c r="BI540">
        <v>14</v>
      </c>
      <c r="BJ540" t="s">
        <v>953</v>
      </c>
      <c r="BK540" t="s">
        <v>94</v>
      </c>
      <c r="BL540" t="s">
        <v>953</v>
      </c>
      <c r="BM540" t="s">
        <v>7380</v>
      </c>
      <c r="BN540" t="s">
        <v>74</v>
      </c>
      <c r="BO540" t="s">
        <v>74</v>
      </c>
      <c r="BP540" t="s">
        <v>74</v>
      </c>
      <c r="BQ540" t="s">
        <v>74</v>
      </c>
      <c r="BR540" t="s">
        <v>97</v>
      </c>
      <c r="BS540" t="s">
        <v>7393</v>
      </c>
      <c r="BT540" t="str">
        <f>HYPERLINK("https%3A%2F%2Fwww.webofscience.com%2Fwos%2Fwoscc%2Ffull-record%2FWOS:000089895700033","View Full Record in Web of Science")</f>
        <v>View Full Record in Web of Science</v>
      </c>
    </row>
    <row r="541" spans="1:72" x14ac:dyDescent="0.15">
      <c r="A541" t="s">
        <v>72</v>
      </c>
      <c r="B541" t="s">
        <v>7394</v>
      </c>
      <c r="C541" t="s">
        <v>74</v>
      </c>
      <c r="D541" t="s">
        <v>74</v>
      </c>
      <c r="E541" t="s">
        <v>74</v>
      </c>
      <c r="F541" t="s">
        <v>7394</v>
      </c>
      <c r="G541" t="s">
        <v>74</v>
      </c>
      <c r="H541" t="s">
        <v>74</v>
      </c>
      <c r="I541" t="s">
        <v>7395</v>
      </c>
      <c r="J541" t="s">
        <v>7396</v>
      </c>
      <c r="K541" t="s">
        <v>74</v>
      </c>
      <c r="L541" t="s">
        <v>74</v>
      </c>
      <c r="M541" t="s">
        <v>77</v>
      </c>
      <c r="N541" t="s">
        <v>78</v>
      </c>
      <c r="O541" t="s">
        <v>74</v>
      </c>
      <c r="P541" t="s">
        <v>74</v>
      </c>
      <c r="Q541" t="s">
        <v>74</v>
      </c>
      <c r="R541" t="s">
        <v>74</v>
      </c>
      <c r="S541" t="s">
        <v>74</v>
      </c>
      <c r="T541" t="s">
        <v>74</v>
      </c>
      <c r="U541" t="s">
        <v>7397</v>
      </c>
      <c r="V541" t="s">
        <v>7398</v>
      </c>
      <c r="W541" t="s">
        <v>7399</v>
      </c>
      <c r="X541" t="s">
        <v>7400</v>
      </c>
      <c r="Y541" t="s">
        <v>7401</v>
      </c>
      <c r="Z541" t="s">
        <v>74</v>
      </c>
      <c r="AA541" t="s">
        <v>74</v>
      </c>
      <c r="AB541" t="s">
        <v>74</v>
      </c>
      <c r="AC541" t="s">
        <v>74</v>
      </c>
      <c r="AD541" t="s">
        <v>74</v>
      </c>
      <c r="AE541" t="s">
        <v>74</v>
      </c>
      <c r="AF541" t="s">
        <v>74</v>
      </c>
      <c r="AG541">
        <v>48</v>
      </c>
      <c r="AH541">
        <v>37</v>
      </c>
      <c r="AI541">
        <v>37</v>
      </c>
      <c r="AJ541">
        <v>0</v>
      </c>
      <c r="AK541">
        <v>3</v>
      </c>
      <c r="AL541" t="s">
        <v>4154</v>
      </c>
      <c r="AM541" t="s">
        <v>4155</v>
      </c>
      <c r="AN541" t="s">
        <v>4156</v>
      </c>
      <c r="AO541" t="s">
        <v>7402</v>
      </c>
      <c r="AP541" t="s">
        <v>74</v>
      </c>
      <c r="AQ541" t="s">
        <v>74</v>
      </c>
      <c r="AR541" t="s">
        <v>7403</v>
      </c>
      <c r="AS541" t="s">
        <v>7404</v>
      </c>
      <c r="AT541" t="s">
        <v>7405</v>
      </c>
      <c r="AU541">
        <v>2000</v>
      </c>
      <c r="AV541">
        <v>113</v>
      </c>
      <c r="AW541">
        <v>14</v>
      </c>
      <c r="AX541" t="s">
        <v>74</v>
      </c>
      <c r="AY541" t="s">
        <v>74</v>
      </c>
      <c r="AZ541" t="s">
        <v>74</v>
      </c>
      <c r="BA541" t="s">
        <v>74</v>
      </c>
      <c r="BB541">
        <v>5750</v>
      </c>
      <c r="BC541">
        <v>5762</v>
      </c>
      <c r="BD541" t="s">
        <v>7406</v>
      </c>
      <c r="BE541" t="s">
        <v>7407</v>
      </c>
      <c r="BF541" t="str">
        <f>HYPERLINK("http://dx.doi.org/10.1063/1.1290606","http://dx.doi.org/10.1063/1.1290606")</f>
        <v>http://dx.doi.org/10.1063/1.1290606</v>
      </c>
      <c r="BG541" t="s">
        <v>74</v>
      </c>
      <c r="BH541" t="s">
        <v>74</v>
      </c>
      <c r="BI541">
        <v>13</v>
      </c>
      <c r="BJ541" t="s">
        <v>4839</v>
      </c>
      <c r="BK541" t="s">
        <v>94</v>
      </c>
      <c r="BL541" t="s">
        <v>4840</v>
      </c>
      <c r="BM541" t="s">
        <v>7408</v>
      </c>
      <c r="BN541" t="s">
        <v>74</v>
      </c>
      <c r="BO541" t="s">
        <v>74</v>
      </c>
      <c r="BP541" t="s">
        <v>74</v>
      </c>
      <c r="BQ541" t="s">
        <v>74</v>
      </c>
      <c r="BR541" t="s">
        <v>97</v>
      </c>
      <c r="BS541" t="s">
        <v>7409</v>
      </c>
      <c r="BT541" t="str">
        <f>HYPERLINK("https%3A%2F%2Fwww.webofscience.com%2Fwos%2Fwoscc%2Ffull-record%2FWOS:000089524400018","View Full Record in Web of Science")</f>
        <v>View Full Record in Web of Science</v>
      </c>
    </row>
    <row r="542" spans="1:72" x14ac:dyDescent="0.15">
      <c r="A542" t="s">
        <v>72</v>
      </c>
      <c r="B542" t="s">
        <v>7410</v>
      </c>
      <c r="C542" t="s">
        <v>74</v>
      </c>
      <c r="D542" t="s">
        <v>74</v>
      </c>
      <c r="E542" t="s">
        <v>74</v>
      </c>
      <c r="F542" t="s">
        <v>7410</v>
      </c>
      <c r="G542" t="s">
        <v>74</v>
      </c>
      <c r="H542" t="s">
        <v>74</v>
      </c>
      <c r="I542" t="s">
        <v>7411</v>
      </c>
      <c r="J542" t="s">
        <v>7412</v>
      </c>
      <c r="K542" t="s">
        <v>74</v>
      </c>
      <c r="L542" t="s">
        <v>74</v>
      </c>
      <c r="M542" t="s">
        <v>77</v>
      </c>
      <c r="N542" t="s">
        <v>78</v>
      </c>
      <c r="O542" t="s">
        <v>74</v>
      </c>
      <c r="P542" t="s">
        <v>74</v>
      </c>
      <c r="Q542" t="s">
        <v>74</v>
      </c>
      <c r="R542" t="s">
        <v>74</v>
      </c>
      <c r="S542" t="s">
        <v>74</v>
      </c>
      <c r="T542" t="s">
        <v>74</v>
      </c>
      <c r="U542" t="s">
        <v>7413</v>
      </c>
      <c r="V542" t="s">
        <v>7414</v>
      </c>
      <c r="W542" t="s">
        <v>7415</v>
      </c>
      <c r="X542" t="s">
        <v>7416</v>
      </c>
      <c r="Y542" t="s">
        <v>7417</v>
      </c>
      <c r="Z542" t="s">
        <v>7418</v>
      </c>
      <c r="AA542" t="s">
        <v>74</v>
      </c>
      <c r="AB542" t="s">
        <v>74</v>
      </c>
      <c r="AC542" t="s">
        <v>74</v>
      </c>
      <c r="AD542" t="s">
        <v>74</v>
      </c>
      <c r="AE542" t="s">
        <v>74</v>
      </c>
      <c r="AF542" t="s">
        <v>74</v>
      </c>
      <c r="AG542">
        <v>28</v>
      </c>
      <c r="AH542">
        <v>4</v>
      </c>
      <c r="AI542">
        <v>4</v>
      </c>
      <c r="AJ542">
        <v>1</v>
      </c>
      <c r="AK542">
        <v>9</v>
      </c>
      <c r="AL542" t="s">
        <v>1823</v>
      </c>
      <c r="AM542" t="s">
        <v>1121</v>
      </c>
      <c r="AN542" t="s">
        <v>1824</v>
      </c>
      <c r="AO542" t="s">
        <v>7419</v>
      </c>
      <c r="AP542" t="s">
        <v>7420</v>
      </c>
      <c r="AQ542" t="s">
        <v>74</v>
      </c>
      <c r="AR542" t="s">
        <v>7421</v>
      </c>
      <c r="AS542" t="s">
        <v>7422</v>
      </c>
      <c r="AT542" t="s">
        <v>7423</v>
      </c>
      <c r="AU542">
        <v>2000</v>
      </c>
      <c r="AV542">
        <v>328</v>
      </c>
      <c r="AW542" t="s">
        <v>7424</v>
      </c>
      <c r="AX542" t="s">
        <v>74</v>
      </c>
      <c r="AY542" t="s">
        <v>74</v>
      </c>
      <c r="AZ542" t="s">
        <v>74</v>
      </c>
      <c r="BA542" t="s">
        <v>74</v>
      </c>
      <c r="BB542">
        <v>492</v>
      </c>
      <c r="BC542">
        <v>499</v>
      </c>
      <c r="BD542" t="s">
        <v>74</v>
      </c>
      <c r="BE542" t="s">
        <v>7425</v>
      </c>
      <c r="BF542" t="str">
        <f>HYPERLINK("http://dx.doi.org/10.1016/S0009-2614(00)00950-7","http://dx.doi.org/10.1016/S0009-2614(00)00950-7")</f>
        <v>http://dx.doi.org/10.1016/S0009-2614(00)00950-7</v>
      </c>
      <c r="BG542" t="s">
        <v>74</v>
      </c>
      <c r="BH542" t="s">
        <v>74</v>
      </c>
      <c r="BI542">
        <v>8</v>
      </c>
      <c r="BJ542" t="s">
        <v>4839</v>
      </c>
      <c r="BK542" t="s">
        <v>94</v>
      </c>
      <c r="BL542" t="s">
        <v>4840</v>
      </c>
      <c r="BM542" t="s">
        <v>7426</v>
      </c>
      <c r="BN542" t="s">
        <v>74</v>
      </c>
      <c r="BO542" t="s">
        <v>74</v>
      </c>
      <c r="BP542" t="s">
        <v>74</v>
      </c>
      <c r="BQ542" t="s">
        <v>74</v>
      </c>
      <c r="BR542" t="s">
        <v>97</v>
      </c>
      <c r="BS542" t="s">
        <v>7427</v>
      </c>
      <c r="BT542" t="str">
        <f>HYPERLINK("https%3A%2F%2Fwww.webofscience.com%2Fwos%2Fwoscc%2Ffull-record%2FWOS:000089836500027","View Full Record in Web of Science")</f>
        <v>View Full Record in Web of Science</v>
      </c>
    </row>
    <row r="543" spans="1:72" x14ac:dyDescent="0.15">
      <c r="A543" t="s">
        <v>72</v>
      </c>
      <c r="B543" t="s">
        <v>7428</v>
      </c>
      <c r="C543" t="s">
        <v>74</v>
      </c>
      <c r="D543" t="s">
        <v>74</v>
      </c>
      <c r="E543" t="s">
        <v>74</v>
      </c>
      <c r="F543" t="s">
        <v>7428</v>
      </c>
      <c r="G543" t="s">
        <v>74</v>
      </c>
      <c r="H543" t="s">
        <v>74</v>
      </c>
      <c r="I543" t="s">
        <v>7429</v>
      </c>
      <c r="J543" t="s">
        <v>7430</v>
      </c>
      <c r="K543" t="s">
        <v>74</v>
      </c>
      <c r="L543" t="s">
        <v>74</v>
      </c>
      <c r="M543" t="s">
        <v>77</v>
      </c>
      <c r="N543" t="s">
        <v>78</v>
      </c>
      <c r="O543" t="s">
        <v>74</v>
      </c>
      <c r="P543" t="s">
        <v>74</v>
      </c>
      <c r="Q543" t="s">
        <v>74</v>
      </c>
      <c r="R543" t="s">
        <v>74</v>
      </c>
      <c r="S543" t="s">
        <v>74</v>
      </c>
      <c r="T543" t="s">
        <v>7431</v>
      </c>
      <c r="U543" t="s">
        <v>7432</v>
      </c>
      <c r="V543" t="s">
        <v>7433</v>
      </c>
      <c r="W543" t="s">
        <v>7434</v>
      </c>
      <c r="X543" t="s">
        <v>7435</v>
      </c>
      <c r="Y543" t="s">
        <v>7436</v>
      </c>
      <c r="Z543" t="s">
        <v>74</v>
      </c>
      <c r="AA543" t="s">
        <v>7437</v>
      </c>
      <c r="AB543" t="s">
        <v>74</v>
      </c>
      <c r="AC543" t="s">
        <v>74</v>
      </c>
      <c r="AD543" t="s">
        <v>74</v>
      </c>
      <c r="AE543" t="s">
        <v>74</v>
      </c>
      <c r="AF543" t="s">
        <v>74</v>
      </c>
      <c r="AG543">
        <v>44</v>
      </c>
      <c r="AH543">
        <v>51</v>
      </c>
      <c r="AI543">
        <v>57</v>
      </c>
      <c r="AJ543">
        <v>2</v>
      </c>
      <c r="AK543">
        <v>18</v>
      </c>
      <c r="AL543" t="s">
        <v>1120</v>
      </c>
      <c r="AM543" t="s">
        <v>1121</v>
      </c>
      <c r="AN543" t="s">
        <v>2394</v>
      </c>
      <c r="AO543" t="s">
        <v>7438</v>
      </c>
      <c r="AP543" t="s">
        <v>74</v>
      </c>
      <c r="AQ543" t="s">
        <v>74</v>
      </c>
      <c r="AR543" t="s">
        <v>7439</v>
      </c>
      <c r="AS543" t="s">
        <v>7440</v>
      </c>
      <c r="AT543" t="s">
        <v>7423</v>
      </c>
      <c r="AU543">
        <v>2000</v>
      </c>
      <c r="AV543">
        <v>893</v>
      </c>
      <c r="AW543">
        <v>2</v>
      </c>
      <c r="AX543" t="s">
        <v>74</v>
      </c>
      <c r="AY543" t="s">
        <v>74</v>
      </c>
      <c r="AZ543" t="s">
        <v>74</v>
      </c>
      <c r="BA543" t="s">
        <v>74</v>
      </c>
      <c r="BB543">
        <v>367</v>
      </c>
      <c r="BC543">
        <v>382</v>
      </c>
      <c r="BD543" t="s">
        <v>74</v>
      </c>
      <c r="BE543" t="s">
        <v>7441</v>
      </c>
      <c r="BF543" t="str">
        <f>HYPERLINK("http://dx.doi.org/10.1016/S0021-9673(00)00771-8","http://dx.doi.org/10.1016/S0021-9673(00)00771-8")</f>
        <v>http://dx.doi.org/10.1016/S0021-9673(00)00771-8</v>
      </c>
      <c r="BG543" t="s">
        <v>74</v>
      </c>
      <c r="BH543" t="s">
        <v>74</v>
      </c>
      <c r="BI543">
        <v>16</v>
      </c>
      <c r="BJ543" t="s">
        <v>7442</v>
      </c>
      <c r="BK543" t="s">
        <v>94</v>
      </c>
      <c r="BL543" t="s">
        <v>7443</v>
      </c>
      <c r="BM543" t="s">
        <v>7444</v>
      </c>
      <c r="BN543">
        <v>11073305</v>
      </c>
      <c r="BO543" t="s">
        <v>1337</v>
      </c>
      <c r="BP543" t="s">
        <v>74</v>
      </c>
      <c r="BQ543" t="s">
        <v>74</v>
      </c>
      <c r="BR543" t="s">
        <v>97</v>
      </c>
      <c r="BS543" t="s">
        <v>7445</v>
      </c>
      <c r="BT543" t="str">
        <f>HYPERLINK("https%3A%2F%2Fwww.webofscience.com%2Fwos%2Fwoscc%2Ffull-record%2FWOS:000089562400013","View Full Record in Web of Science")</f>
        <v>View Full Record in Web of Science</v>
      </c>
    </row>
    <row r="544" spans="1:72" x14ac:dyDescent="0.15">
      <c r="A544" t="s">
        <v>72</v>
      </c>
      <c r="B544" t="s">
        <v>7446</v>
      </c>
      <c r="C544" t="s">
        <v>74</v>
      </c>
      <c r="D544" t="s">
        <v>74</v>
      </c>
      <c r="E544" t="s">
        <v>74</v>
      </c>
      <c r="F544" t="s">
        <v>7446</v>
      </c>
      <c r="G544" t="s">
        <v>74</v>
      </c>
      <c r="H544" t="s">
        <v>74</v>
      </c>
      <c r="I544" t="s">
        <v>7447</v>
      </c>
      <c r="J544" t="s">
        <v>7448</v>
      </c>
      <c r="K544" t="s">
        <v>74</v>
      </c>
      <c r="L544" t="s">
        <v>74</v>
      </c>
      <c r="M544" t="s">
        <v>77</v>
      </c>
      <c r="N544" t="s">
        <v>78</v>
      </c>
      <c r="O544" t="s">
        <v>74</v>
      </c>
      <c r="P544" t="s">
        <v>74</v>
      </c>
      <c r="Q544" t="s">
        <v>74</v>
      </c>
      <c r="R544" t="s">
        <v>74</v>
      </c>
      <c r="S544" t="s">
        <v>74</v>
      </c>
      <c r="T544" t="s">
        <v>7449</v>
      </c>
      <c r="U544" t="s">
        <v>7450</v>
      </c>
      <c r="V544" t="s">
        <v>7451</v>
      </c>
      <c r="W544" t="s">
        <v>7452</v>
      </c>
      <c r="X544" t="s">
        <v>7453</v>
      </c>
      <c r="Y544" t="s">
        <v>7454</v>
      </c>
      <c r="Z544" t="s">
        <v>1933</v>
      </c>
      <c r="AA544" t="s">
        <v>74</v>
      </c>
      <c r="AB544" t="s">
        <v>7162</v>
      </c>
      <c r="AC544" t="s">
        <v>74</v>
      </c>
      <c r="AD544" t="s">
        <v>74</v>
      </c>
      <c r="AE544" t="s">
        <v>74</v>
      </c>
      <c r="AF544" t="s">
        <v>74</v>
      </c>
      <c r="AG544">
        <v>17</v>
      </c>
      <c r="AH544">
        <v>15</v>
      </c>
      <c r="AI544">
        <v>18</v>
      </c>
      <c r="AJ544">
        <v>0</v>
      </c>
      <c r="AK544">
        <v>0</v>
      </c>
      <c r="AL544" t="s">
        <v>7455</v>
      </c>
      <c r="AM544" t="s">
        <v>7456</v>
      </c>
      <c r="AN544" t="s">
        <v>7457</v>
      </c>
      <c r="AO544" t="s">
        <v>7458</v>
      </c>
      <c r="AP544" t="s">
        <v>74</v>
      </c>
      <c r="AQ544" t="s">
        <v>74</v>
      </c>
      <c r="AR544" t="s">
        <v>7459</v>
      </c>
      <c r="AS544" t="s">
        <v>7460</v>
      </c>
      <c r="AT544" t="s">
        <v>7461</v>
      </c>
      <c r="AU544">
        <v>2000</v>
      </c>
      <c r="AV544">
        <v>35</v>
      </c>
      <c r="AW544">
        <v>2</v>
      </c>
      <c r="AX544" t="s">
        <v>74</v>
      </c>
      <c r="AY544" t="s">
        <v>74</v>
      </c>
      <c r="AZ544" t="s">
        <v>74</v>
      </c>
      <c r="BA544" t="s">
        <v>74</v>
      </c>
      <c r="BB544">
        <v>201</v>
      </c>
      <c r="BC544">
        <v>205</v>
      </c>
      <c r="BD544" t="s">
        <v>74</v>
      </c>
      <c r="BE544" t="s">
        <v>74</v>
      </c>
      <c r="BF544" t="s">
        <v>74</v>
      </c>
      <c r="BG544" t="s">
        <v>74</v>
      </c>
      <c r="BH544" t="s">
        <v>74</v>
      </c>
      <c r="BI544">
        <v>5</v>
      </c>
      <c r="BJ544" t="s">
        <v>206</v>
      </c>
      <c r="BK544" t="s">
        <v>94</v>
      </c>
      <c r="BL544" t="s">
        <v>206</v>
      </c>
      <c r="BM544" t="s">
        <v>7462</v>
      </c>
      <c r="BN544" t="s">
        <v>74</v>
      </c>
      <c r="BO544" t="s">
        <v>74</v>
      </c>
      <c r="BP544" t="s">
        <v>74</v>
      </c>
      <c r="BQ544" t="s">
        <v>74</v>
      </c>
      <c r="BR544" t="s">
        <v>97</v>
      </c>
      <c r="BS544" t="s">
        <v>7463</v>
      </c>
      <c r="BT544" t="str">
        <f>HYPERLINK("https%3A%2F%2Fwww.webofscience.com%2Fwos%2Fwoscc%2Ffull-record%2FWOS:000169907400006","View Full Record in Web of Science")</f>
        <v>View Full Record in Web of Science</v>
      </c>
    </row>
    <row r="545" spans="1:72" x14ac:dyDescent="0.15">
      <c r="A545" t="s">
        <v>72</v>
      </c>
      <c r="B545" t="s">
        <v>7464</v>
      </c>
      <c r="C545" t="s">
        <v>74</v>
      </c>
      <c r="D545" t="s">
        <v>74</v>
      </c>
      <c r="E545" t="s">
        <v>74</v>
      </c>
      <c r="F545" t="s">
        <v>7464</v>
      </c>
      <c r="G545" t="s">
        <v>74</v>
      </c>
      <c r="H545" t="s">
        <v>74</v>
      </c>
      <c r="I545" t="s">
        <v>7465</v>
      </c>
      <c r="J545" t="s">
        <v>6382</v>
      </c>
      <c r="K545" t="s">
        <v>74</v>
      </c>
      <c r="L545" t="s">
        <v>74</v>
      </c>
      <c r="M545" t="s">
        <v>77</v>
      </c>
      <c r="N545" t="s">
        <v>78</v>
      </c>
      <c r="O545" t="s">
        <v>74</v>
      </c>
      <c r="P545" t="s">
        <v>74</v>
      </c>
      <c r="Q545" t="s">
        <v>74</v>
      </c>
      <c r="R545" t="s">
        <v>74</v>
      </c>
      <c r="S545" t="s">
        <v>74</v>
      </c>
      <c r="T545" t="s">
        <v>7466</v>
      </c>
      <c r="U545" t="s">
        <v>7467</v>
      </c>
      <c r="V545" t="s">
        <v>7468</v>
      </c>
      <c r="W545" t="s">
        <v>7469</v>
      </c>
      <c r="X545" t="s">
        <v>7470</v>
      </c>
      <c r="Y545" t="s">
        <v>7471</v>
      </c>
      <c r="Z545" t="s">
        <v>74</v>
      </c>
      <c r="AA545" t="s">
        <v>74</v>
      </c>
      <c r="AB545" t="s">
        <v>7472</v>
      </c>
      <c r="AC545" t="s">
        <v>74</v>
      </c>
      <c r="AD545" t="s">
        <v>74</v>
      </c>
      <c r="AE545" t="s">
        <v>74</v>
      </c>
      <c r="AF545" t="s">
        <v>74</v>
      </c>
      <c r="AG545">
        <v>28</v>
      </c>
      <c r="AH545">
        <v>56</v>
      </c>
      <c r="AI545">
        <v>61</v>
      </c>
      <c r="AJ545">
        <v>0</v>
      </c>
      <c r="AK545">
        <v>4</v>
      </c>
      <c r="AL545" t="s">
        <v>159</v>
      </c>
      <c r="AM545" t="s">
        <v>160</v>
      </c>
      <c r="AN545" t="s">
        <v>161</v>
      </c>
      <c r="AO545" t="s">
        <v>6392</v>
      </c>
      <c r="AP545" t="s">
        <v>74</v>
      </c>
      <c r="AQ545" t="s">
        <v>74</v>
      </c>
      <c r="AR545" t="s">
        <v>6393</v>
      </c>
      <c r="AS545" t="s">
        <v>6394</v>
      </c>
      <c r="AT545" t="s">
        <v>7461</v>
      </c>
      <c r="AU545">
        <v>2000</v>
      </c>
      <c r="AV545">
        <v>18</v>
      </c>
      <c r="AW545">
        <v>10</v>
      </c>
      <c r="AX545" t="s">
        <v>74</v>
      </c>
      <c r="AY545" t="s">
        <v>74</v>
      </c>
      <c r="AZ545" t="s">
        <v>74</v>
      </c>
      <c r="BA545" t="s">
        <v>74</v>
      </c>
      <c r="BB545">
        <v>1293</v>
      </c>
      <c r="BC545">
        <v>1303</v>
      </c>
      <c r="BD545" t="s">
        <v>74</v>
      </c>
      <c r="BE545" t="s">
        <v>7473</v>
      </c>
      <c r="BF545" t="str">
        <f>HYPERLINK("http://dx.doi.org/10.1007/s00585-000-1293-2","http://dx.doi.org/10.1007/s00585-000-1293-2")</f>
        <v>http://dx.doi.org/10.1007/s00585-000-1293-2</v>
      </c>
      <c r="BG545" t="s">
        <v>74</v>
      </c>
      <c r="BH545" t="s">
        <v>74</v>
      </c>
      <c r="BI545">
        <v>11</v>
      </c>
      <c r="BJ545" t="s">
        <v>6397</v>
      </c>
      <c r="BK545" t="s">
        <v>94</v>
      </c>
      <c r="BL545" t="s">
        <v>6398</v>
      </c>
      <c r="BM545" t="s">
        <v>7474</v>
      </c>
      <c r="BN545" t="s">
        <v>74</v>
      </c>
      <c r="BO545" t="s">
        <v>6400</v>
      </c>
      <c r="BP545" t="s">
        <v>74</v>
      </c>
      <c r="BQ545" t="s">
        <v>74</v>
      </c>
      <c r="BR545" t="s">
        <v>97</v>
      </c>
      <c r="BS545" t="s">
        <v>7475</v>
      </c>
      <c r="BT545" t="str">
        <f>HYPERLINK("https%3A%2F%2Fwww.webofscience.com%2Fwos%2Fwoscc%2Ffull-record%2FWOS:000165131100004","View Full Record in Web of Science")</f>
        <v>View Full Record in Web of Science</v>
      </c>
    </row>
    <row r="546" spans="1:72" x14ac:dyDescent="0.15">
      <c r="A546" t="s">
        <v>72</v>
      </c>
      <c r="B546" t="s">
        <v>7476</v>
      </c>
      <c r="C546" t="s">
        <v>74</v>
      </c>
      <c r="D546" t="s">
        <v>74</v>
      </c>
      <c r="E546" t="s">
        <v>74</v>
      </c>
      <c r="F546" t="s">
        <v>7476</v>
      </c>
      <c r="G546" t="s">
        <v>74</v>
      </c>
      <c r="H546" t="s">
        <v>74</v>
      </c>
      <c r="I546" t="s">
        <v>7477</v>
      </c>
      <c r="J546" t="s">
        <v>7478</v>
      </c>
      <c r="K546" t="s">
        <v>74</v>
      </c>
      <c r="L546" t="s">
        <v>74</v>
      </c>
      <c r="M546" t="s">
        <v>77</v>
      </c>
      <c r="N546" t="s">
        <v>78</v>
      </c>
      <c r="O546" t="s">
        <v>74</v>
      </c>
      <c r="P546" t="s">
        <v>74</v>
      </c>
      <c r="Q546" t="s">
        <v>74</v>
      </c>
      <c r="R546" t="s">
        <v>74</v>
      </c>
      <c r="S546" t="s">
        <v>74</v>
      </c>
      <c r="T546" t="s">
        <v>7479</v>
      </c>
      <c r="U546" t="s">
        <v>7480</v>
      </c>
      <c r="V546" t="s">
        <v>7481</v>
      </c>
      <c r="W546" t="s">
        <v>7482</v>
      </c>
      <c r="X546" t="s">
        <v>1491</v>
      </c>
      <c r="Y546" t="s">
        <v>7483</v>
      </c>
      <c r="Z546" t="s">
        <v>74</v>
      </c>
      <c r="AA546" t="s">
        <v>7484</v>
      </c>
      <c r="AB546" t="s">
        <v>7485</v>
      </c>
      <c r="AC546" t="s">
        <v>74</v>
      </c>
      <c r="AD546" t="s">
        <v>74</v>
      </c>
      <c r="AE546" t="s">
        <v>74</v>
      </c>
      <c r="AF546" t="s">
        <v>74</v>
      </c>
      <c r="AG546">
        <v>16</v>
      </c>
      <c r="AH546">
        <v>5</v>
      </c>
      <c r="AI546">
        <v>7</v>
      </c>
      <c r="AJ546">
        <v>1</v>
      </c>
      <c r="AK546">
        <v>7</v>
      </c>
      <c r="AL546" t="s">
        <v>5568</v>
      </c>
      <c r="AM546" t="s">
        <v>1208</v>
      </c>
      <c r="AN546" t="s">
        <v>1900</v>
      </c>
      <c r="AO546" t="s">
        <v>7486</v>
      </c>
      <c r="AP546" t="s">
        <v>74</v>
      </c>
      <c r="AQ546" t="s">
        <v>74</v>
      </c>
      <c r="AR546" t="s">
        <v>7487</v>
      </c>
      <c r="AS546" t="s">
        <v>7488</v>
      </c>
      <c r="AT546" t="s">
        <v>7461</v>
      </c>
      <c r="AU546">
        <v>2000</v>
      </c>
      <c r="AV546">
        <v>86</v>
      </c>
      <c r="AW546">
        <v>4</v>
      </c>
      <c r="AX546" t="s">
        <v>74</v>
      </c>
      <c r="AY546" t="s">
        <v>74</v>
      </c>
      <c r="AZ546" t="s">
        <v>74</v>
      </c>
      <c r="BA546" t="s">
        <v>74</v>
      </c>
      <c r="BB546">
        <v>717</v>
      </c>
      <c r="BC546">
        <v>721</v>
      </c>
      <c r="BD546" t="s">
        <v>74</v>
      </c>
      <c r="BE546" t="s">
        <v>7489</v>
      </c>
      <c r="BF546" t="str">
        <f>HYPERLINK("http://dx.doi.org/10.1006/anbo.2000.1248","http://dx.doi.org/10.1006/anbo.2000.1248")</f>
        <v>http://dx.doi.org/10.1006/anbo.2000.1248</v>
      </c>
      <c r="BG546" t="s">
        <v>74</v>
      </c>
      <c r="BH546" t="s">
        <v>74</v>
      </c>
      <c r="BI546">
        <v>5</v>
      </c>
      <c r="BJ546" t="s">
        <v>3818</v>
      </c>
      <c r="BK546" t="s">
        <v>94</v>
      </c>
      <c r="BL546" t="s">
        <v>3818</v>
      </c>
      <c r="BM546" t="s">
        <v>7490</v>
      </c>
      <c r="BN546" t="s">
        <v>74</v>
      </c>
      <c r="BO546" t="s">
        <v>1755</v>
      </c>
      <c r="BP546" t="s">
        <v>74</v>
      </c>
      <c r="BQ546" t="s">
        <v>74</v>
      </c>
      <c r="BR546" t="s">
        <v>97</v>
      </c>
      <c r="BS546" t="s">
        <v>7491</v>
      </c>
      <c r="BT546" t="str">
        <f>HYPERLINK("https%3A%2F%2Fwww.webofscience.com%2Fwos%2Fwoscc%2Ffull-record%2FWOS:000089599600002","View Full Record in Web of Science")</f>
        <v>View Full Record in Web of Science</v>
      </c>
    </row>
    <row r="547" spans="1:72" x14ac:dyDescent="0.15">
      <c r="A547" t="s">
        <v>72</v>
      </c>
      <c r="B547" t="s">
        <v>7492</v>
      </c>
      <c r="C547" t="s">
        <v>74</v>
      </c>
      <c r="D547" t="s">
        <v>74</v>
      </c>
      <c r="E547" t="s">
        <v>74</v>
      </c>
      <c r="F547" t="s">
        <v>7492</v>
      </c>
      <c r="G547" t="s">
        <v>74</v>
      </c>
      <c r="H547" t="s">
        <v>74</v>
      </c>
      <c r="I547" t="s">
        <v>7493</v>
      </c>
      <c r="J547" t="s">
        <v>7494</v>
      </c>
      <c r="K547" t="s">
        <v>74</v>
      </c>
      <c r="L547" t="s">
        <v>74</v>
      </c>
      <c r="M547" t="s">
        <v>77</v>
      </c>
      <c r="N547" t="s">
        <v>78</v>
      </c>
      <c r="O547" t="s">
        <v>74</v>
      </c>
      <c r="P547" t="s">
        <v>74</v>
      </c>
      <c r="Q547" t="s">
        <v>74</v>
      </c>
      <c r="R547" t="s">
        <v>74</v>
      </c>
      <c r="S547" t="s">
        <v>74</v>
      </c>
      <c r="T547" t="s">
        <v>7495</v>
      </c>
      <c r="U547" t="s">
        <v>7496</v>
      </c>
      <c r="V547" t="s">
        <v>7497</v>
      </c>
      <c r="W547" t="s">
        <v>7498</v>
      </c>
      <c r="X547" t="s">
        <v>7499</v>
      </c>
      <c r="Y547" t="s">
        <v>7500</v>
      </c>
      <c r="Z547" t="s">
        <v>74</v>
      </c>
      <c r="AA547" t="s">
        <v>7501</v>
      </c>
      <c r="AB547" t="s">
        <v>7502</v>
      </c>
      <c r="AC547" t="s">
        <v>74</v>
      </c>
      <c r="AD547" t="s">
        <v>74</v>
      </c>
      <c r="AE547" t="s">
        <v>74</v>
      </c>
      <c r="AF547" t="s">
        <v>74</v>
      </c>
      <c r="AG547">
        <v>18</v>
      </c>
      <c r="AH547">
        <v>12</v>
      </c>
      <c r="AI547">
        <v>12</v>
      </c>
      <c r="AJ547">
        <v>0</v>
      </c>
      <c r="AK547">
        <v>2</v>
      </c>
      <c r="AL547" t="s">
        <v>1120</v>
      </c>
      <c r="AM547" t="s">
        <v>1121</v>
      </c>
      <c r="AN547" t="s">
        <v>2394</v>
      </c>
      <c r="AO547" t="s">
        <v>7503</v>
      </c>
      <c r="AP547" t="s">
        <v>74</v>
      </c>
      <c r="AQ547" t="s">
        <v>74</v>
      </c>
      <c r="AR547" t="s">
        <v>7504</v>
      </c>
      <c r="AS547" t="s">
        <v>7505</v>
      </c>
      <c r="AT547" t="s">
        <v>7461</v>
      </c>
      <c r="AU547">
        <v>2000</v>
      </c>
      <c r="AV547">
        <v>35</v>
      </c>
      <c r="AW547">
        <v>2</v>
      </c>
      <c r="AX547" t="s">
        <v>74</v>
      </c>
      <c r="AY547" t="s">
        <v>74</v>
      </c>
      <c r="AZ547" t="s">
        <v>74</v>
      </c>
      <c r="BA547" t="s">
        <v>74</v>
      </c>
      <c r="BB547">
        <v>111</v>
      </c>
      <c r="BC547">
        <v>128</v>
      </c>
      <c r="BD547" t="s">
        <v>74</v>
      </c>
      <c r="BE547" t="s">
        <v>7506</v>
      </c>
      <c r="BF547" t="str">
        <f>HYPERLINK("http://dx.doi.org/10.1016/S0168-9274(99)00052-5","http://dx.doi.org/10.1016/S0168-9274(99)00052-5")</f>
        <v>http://dx.doi.org/10.1016/S0168-9274(99)00052-5</v>
      </c>
      <c r="BG547" t="s">
        <v>74</v>
      </c>
      <c r="BH547" t="s">
        <v>74</v>
      </c>
      <c r="BI547">
        <v>18</v>
      </c>
      <c r="BJ547" t="s">
        <v>4342</v>
      </c>
      <c r="BK547" t="s">
        <v>94</v>
      </c>
      <c r="BL547" t="s">
        <v>4343</v>
      </c>
      <c r="BM547" t="s">
        <v>7507</v>
      </c>
      <c r="BN547" t="s">
        <v>74</v>
      </c>
      <c r="BO547" t="s">
        <v>74</v>
      </c>
      <c r="BP547" t="s">
        <v>74</v>
      </c>
      <c r="BQ547" t="s">
        <v>74</v>
      </c>
      <c r="BR547" t="s">
        <v>97</v>
      </c>
      <c r="BS547" t="s">
        <v>7508</v>
      </c>
      <c r="BT547" t="str">
        <f>HYPERLINK("https%3A%2F%2Fwww.webofscience.com%2Fwos%2Fwoscc%2Ffull-record%2FWOS:000089650500002","View Full Record in Web of Science")</f>
        <v>View Full Record in Web of Science</v>
      </c>
    </row>
    <row r="548" spans="1:72" x14ac:dyDescent="0.15">
      <c r="A548" t="s">
        <v>72</v>
      </c>
      <c r="B548" t="s">
        <v>7509</v>
      </c>
      <c r="C548" t="s">
        <v>74</v>
      </c>
      <c r="D548" t="s">
        <v>74</v>
      </c>
      <c r="E548" t="s">
        <v>74</v>
      </c>
      <c r="F548" t="s">
        <v>7509</v>
      </c>
      <c r="G548" t="s">
        <v>74</v>
      </c>
      <c r="H548" t="s">
        <v>74</v>
      </c>
      <c r="I548" t="s">
        <v>7510</v>
      </c>
      <c r="J548" t="s">
        <v>7511</v>
      </c>
      <c r="K548" t="s">
        <v>74</v>
      </c>
      <c r="L548" t="s">
        <v>74</v>
      </c>
      <c r="M548" t="s">
        <v>77</v>
      </c>
      <c r="N548" t="s">
        <v>78</v>
      </c>
      <c r="O548" t="s">
        <v>74</v>
      </c>
      <c r="P548" t="s">
        <v>74</v>
      </c>
      <c r="Q548" t="s">
        <v>74</v>
      </c>
      <c r="R548" t="s">
        <v>74</v>
      </c>
      <c r="S548" t="s">
        <v>74</v>
      </c>
      <c r="T548" t="s">
        <v>74</v>
      </c>
      <c r="U548" t="s">
        <v>7512</v>
      </c>
      <c r="V548" t="s">
        <v>7513</v>
      </c>
      <c r="W548" t="s">
        <v>7514</v>
      </c>
      <c r="X548" t="s">
        <v>7515</v>
      </c>
      <c r="Y548" t="s">
        <v>7516</v>
      </c>
      <c r="Z548" t="s">
        <v>74</v>
      </c>
      <c r="AA548" t="s">
        <v>74</v>
      </c>
      <c r="AB548" t="s">
        <v>74</v>
      </c>
      <c r="AC548" t="s">
        <v>74</v>
      </c>
      <c r="AD548" t="s">
        <v>74</v>
      </c>
      <c r="AE548" t="s">
        <v>74</v>
      </c>
      <c r="AF548" t="s">
        <v>74</v>
      </c>
      <c r="AG548">
        <v>27</v>
      </c>
      <c r="AH548">
        <v>6</v>
      </c>
      <c r="AI548">
        <v>6</v>
      </c>
      <c r="AJ548">
        <v>0</v>
      </c>
      <c r="AK548">
        <v>3</v>
      </c>
      <c r="AL548" t="s">
        <v>719</v>
      </c>
      <c r="AM548" t="s">
        <v>246</v>
      </c>
      <c r="AN548" t="s">
        <v>720</v>
      </c>
      <c r="AO548" t="s">
        <v>7517</v>
      </c>
      <c r="AP548" t="s">
        <v>74</v>
      </c>
      <c r="AQ548" t="s">
        <v>74</v>
      </c>
      <c r="AR548" t="s">
        <v>7518</v>
      </c>
      <c r="AS548" t="s">
        <v>7519</v>
      </c>
      <c r="AT548" t="s">
        <v>7461</v>
      </c>
      <c r="AU548">
        <v>2000</v>
      </c>
      <c r="AV548">
        <v>41</v>
      </c>
      <c r="AW548">
        <v>5</v>
      </c>
      <c r="AX548" t="s">
        <v>74</v>
      </c>
      <c r="AY548" t="s">
        <v>74</v>
      </c>
      <c r="AZ548" t="s">
        <v>74</v>
      </c>
      <c r="BA548" t="s">
        <v>74</v>
      </c>
      <c r="BB548">
        <v>28</v>
      </c>
      <c r="BC548">
        <v>30</v>
      </c>
      <c r="BD548" t="s">
        <v>74</v>
      </c>
      <c r="BE548" t="s">
        <v>7520</v>
      </c>
      <c r="BF548" t="str">
        <f>HYPERLINK("http://dx.doi.org/10.1046/j.1468-4004.2000.41528.x","http://dx.doi.org/10.1046/j.1468-4004.2000.41528.x")</f>
        <v>http://dx.doi.org/10.1046/j.1468-4004.2000.41528.x</v>
      </c>
      <c r="BG548" t="s">
        <v>74</v>
      </c>
      <c r="BH548" t="s">
        <v>74</v>
      </c>
      <c r="BI548">
        <v>3</v>
      </c>
      <c r="BJ548" t="s">
        <v>7521</v>
      </c>
      <c r="BK548" t="s">
        <v>94</v>
      </c>
      <c r="BL548" t="s">
        <v>7521</v>
      </c>
      <c r="BM548" t="s">
        <v>7522</v>
      </c>
      <c r="BN548" t="s">
        <v>74</v>
      </c>
      <c r="BO548" t="s">
        <v>1755</v>
      </c>
      <c r="BP548" t="s">
        <v>74</v>
      </c>
      <c r="BQ548" t="s">
        <v>74</v>
      </c>
      <c r="BR548" t="s">
        <v>97</v>
      </c>
      <c r="BS548" t="s">
        <v>7523</v>
      </c>
      <c r="BT548" t="str">
        <f>HYPERLINK("https%3A%2F%2Fwww.webofscience.com%2Fwos%2Fwoscc%2Ffull-record%2FWOS:000089700700025","View Full Record in Web of Science")</f>
        <v>View Full Record in Web of Science</v>
      </c>
    </row>
    <row r="549" spans="1:72" x14ac:dyDescent="0.15">
      <c r="A549" t="s">
        <v>72</v>
      </c>
      <c r="B549" t="s">
        <v>7524</v>
      </c>
      <c r="C549" t="s">
        <v>74</v>
      </c>
      <c r="D549" t="s">
        <v>74</v>
      </c>
      <c r="E549" t="s">
        <v>74</v>
      </c>
      <c r="F549" t="s">
        <v>7524</v>
      </c>
      <c r="G549" t="s">
        <v>74</v>
      </c>
      <c r="H549" t="s">
        <v>74</v>
      </c>
      <c r="I549" t="s">
        <v>7525</v>
      </c>
      <c r="J549" t="s">
        <v>7526</v>
      </c>
      <c r="K549" t="s">
        <v>74</v>
      </c>
      <c r="L549" t="s">
        <v>74</v>
      </c>
      <c r="M549" t="s">
        <v>77</v>
      </c>
      <c r="N549" t="s">
        <v>78</v>
      </c>
      <c r="O549" t="s">
        <v>74</v>
      </c>
      <c r="P549" t="s">
        <v>74</v>
      </c>
      <c r="Q549" t="s">
        <v>74</v>
      </c>
      <c r="R549" t="s">
        <v>74</v>
      </c>
      <c r="S549" t="s">
        <v>74</v>
      </c>
      <c r="T549" t="s">
        <v>74</v>
      </c>
      <c r="U549" t="s">
        <v>7527</v>
      </c>
      <c r="V549" t="s">
        <v>74</v>
      </c>
      <c r="W549" t="s">
        <v>7528</v>
      </c>
      <c r="X549" t="s">
        <v>7529</v>
      </c>
      <c r="Y549" t="s">
        <v>7530</v>
      </c>
      <c r="Z549" t="s">
        <v>74</v>
      </c>
      <c r="AA549" t="s">
        <v>7531</v>
      </c>
      <c r="AB549" t="s">
        <v>7532</v>
      </c>
      <c r="AC549" t="s">
        <v>74</v>
      </c>
      <c r="AD549" t="s">
        <v>74</v>
      </c>
      <c r="AE549" t="s">
        <v>74</v>
      </c>
      <c r="AF549" t="s">
        <v>74</v>
      </c>
      <c r="AG549">
        <v>38</v>
      </c>
      <c r="AH549">
        <v>15</v>
      </c>
      <c r="AI549">
        <v>15</v>
      </c>
      <c r="AJ549">
        <v>0</v>
      </c>
      <c r="AK549">
        <v>14</v>
      </c>
      <c r="AL549" t="s">
        <v>7533</v>
      </c>
      <c r="AM549" t="s">
        <v>5031</v>
      </c>
      <c r="AN549" t="s">
        <v>7534</v>
      </c>
      <c r="AO549" t="s">
        <v>7535</v>
      </c>
      <c r="AP549" t="s">
        <v>74</v>
      </c>
      <c r="AQ549" t="s">
        <v>74</v>
      </c>
      <c r="AR549" t="s">
        <v>7526</v>
      </c>
      <c r="AS549" t="s">
        <v>7526</v>
      </c>
      <c r="AT549" t="s">
        <v>7461</v>
      </c>
      <c r="AU549">
        <v>2000</v>
      </c>
      <c r="AV549">
        <v>117</v>
      </c>
      <c r="AW549">
        <v>4</v>
      </c>
      <c r="AX549" t="s">
        <v>74</v>
      </c>
      <c r="AY549" t="s">
        <v>74</v>
      </c>
      <c r="AZ549" t="s">
        <v>74</v>
      </c>
      <c r="BA549" t="s">
        <v>74</v>
      </c>
      <c r="BB549">
        <v>1042</v>
      </c>
      <c r="BC549">
        <v>1047</v>
      </c>
      <c r="BD549" t="s">
        <v>74</v>
      </c>
      <c r="BE549" t="s">
        <v>7536</v>
      </c>
      <c r="BF549" t="str">
        <f>HYPERLINK("http://dx.doi.org/10.1642/0004-8038(2000)117[1042:MEFEPA]2.0.CO;2","http://dx.doi.org/10.1642/0004-8038(2000)117[1042:MEFEPA]2.0.CO;2")</f>
        <v>http://dx.doi.org/10.1642/0004-8038(2000)117[1042:MEFEPA]2.0.CO;2</v>
      </c>
      <c r="BG549" t="s">
        <v>74</v>
      </c>
      <c r="BH549" t="s">
        <v>74</v>
      </c>
      <c r="BI549">
        <v>6</v>
      </c>
      <c r="BJ549" t="s">
        <v>675</v>
      </c>
      <c r="BK549" t="s">
        <v>94</v>
      </c>
      <c r="BL549" t="s">
        <v>206</v>
      </c>
      <c r="BM549" t="s">
        <v>7537</v>
      </c>
      <c r="BN549" t="s">
        <v>74</v>
      </c>
      <c r="BO549" t="s">
        <v>1755</v>
      </c>
      <c r="BP549" t="s">
        <v>74</v>
      </c>
      <c r="BQ549" t="s">
        <v>74</v>
      </c>
      <c r="BR549" t="s">
        <v>97</v>
      </c>
      <c r="BS549" t="s">
        <v>7538</v>
      </c>
      <c r="BT549" t="str">
        <f>HYPERLINK("https%3A%2F%2Fwww.webofscience.com%2Fwos%2Fwoscc%2Ffull-record%2FWOS:000090070500023","View Full Record in Web of Science")</f>
        <v>View Full Record in Web of Science</v>
      </c>
    </row>
    <row r="550" spans="1:72" x14ac:dyDescent="0.15">
      <c r="A550" t="s">
        <v>72</v>
      </c>
      <c r="B550" t="s">
        <v>7539</v>
      </c>
      <c r="C550" t="s">
        <v>74</v>
      </c>
      <c r="D550" t="s">
        <v>74</v>
      </c>
      <c r="E550" t="s">
        <v>74</v>
      </c>
      <c r="F550" t="s">
        <v>7539</v>
      </c>
      <c r="G550" t="s">
        <v>74</v>
      </c>
      <c r="H550" t="s">
        <v>74</v>
      </c>
      <c r="I550" t="s">
        <v>7540</v>
      </c>
      <c r="J550" t="s">
        <v>152</v>
      </c>
      <c r="K550" t="s">
        <v>74</v>
      </c>
      <c r="L550" t="s">
        <v>74</v>
      </c>
      <c r="M550" t="s">
        <v>77</v>
      </c>
      <c r="N550" t="s">
        <v>78</v>
      </c>
      <c r="O550" t="s">
        <v>74</v>
      </c>
      <c r="P550" t="s">
        <v>74</v>
      </c>
      <c r="Q550" t="s">
        <v>74</v>
      </c>
      <c r="R550" t="s">
        <v>74</v>
      </c>
      <c r="S550" t="s">
        <v>74</v>
      </c>
      <c r="T550" t="s">
        <v>74</v>
      </c>
      <c r="U550" t="s">
        <v>7541</v>
      </c>
      <c r="V550" t="s">
        <v>7542</v>
      </c>
      <c r="W550" t="s">
        <v>7543</v>
      </c>
      <c r="X550" t="s">
        <v>7544</v>
      </c>
      <c r="Y550" t="s">
        <v>7545</v>
      </c>
      <c r="Z550" t="s">
        <v>74</v>
      </c>
      <c r="AA550" t="s">
        <v>74</v>
      </c>
      <c r="AB550" t="s">
        <v>7546</v>
      </c>
      <c r="AC550" t="s">
        <v>74</v>
      </c>
      <c r="AD550" t="s">
        <v>74</v>
      </c>
      <c r="AE550" t="s">
        <v>74</v>
      </c>
      <c r="AF550" t="s">
        <v>74</v>
      </c>
      <c r="AG550">
        <v>29</v>
      </c>
      <c r="AH550">
        <v>36</v>
      </c>
      <c r="AI550">
        <v>38</v>
      </c>
      <c r="AJ550">
        <v>1</v>
      </c>
      <c r="AK550">
        <v>9</v>
      </c>
      <c r="AL550" t="s">
        <v>159</v>
      </c>
      <c r="AM550" t="s">
        <v>160</v>
      </c>
      <c r="AN550" t="s">
        <v>161</v>
      </c>
      <c r="AO550" t="s">
        <v>162</v>
      </c>
      <c r="AP550" t="s">
        <v>74</v>
      </c>
      <c r="AQ550" t="s">
        <v>74</v>
      </c>
      <c r="AR550" t="s">
        <v>163</v>
      </c>
      <c r="AS550" t="s">
        <v>164</v>
      </c>
      <c r="AT550" t="s">
        <v>7461</v>
      </c>
      <c r="AU550">
        <v>2000</v>
      </c>
      <c r="AV550">
        <v>16</v>
      </c>
      <c r="AW550" t="s">
        <v>7547</v>
      </c>
      <c r="AX550" t="s">
        <v>74</v>
      </c>
      <c r="AY550" t="s">
        <v>74</v>
      </c>
      <c r="AZ550" t="s">
        <v>74</v>
      </c>
      <c r="BA550" t="s">
        <v>74</v>
      </c>
      <c r="BB550">
        <v>789</v>
      </c>
      <c r="BC550">
        <v>797</v>
      </c>
      <c r="BD550" t="s">
        <v>74</v>
      </c>
      <c r="BE550" t="s">
        <v>7548</v>
      </c>
      <c r="BF550" t="str">
        <f>HYPERLINK("http://dx.doi.org/10.1007/s003820000090","http://dx.doi.org/10.1007/s003820000090")</f>
        <v>http://dx.doi.org/10.1007/s003820000090</v>
      </c>
      <c r="BG550" t="s">
        <v>74</v>
      </c>
      <c r="BH550" t="s">
        <v>74</v>
      </c>
      <c r="BI550">
        <v>9</v>
      </c>
      <c r="BJ550" t="s">
        <v>167</v>
      </c>
      <c r="BK550" t="s">
        <v>94</v>
      </c>
      <c r="BL550" t="s">
        <v>167</v>
      </c>
      <c r="BM550" t="s">
        <v>7549</v>
      </c>
      <c r="BN550" t="s">
        <v>74</v>
      </c>
      <c r="BO550" t="s">
        <v>74</v>
      </c>
      <c r="BP550" t="s">
        <v>74</v>
      </c>
      <c r="BQ550" t="s">
        <v>74</v>
      </c>
      <c r="BR550" t="s">
        <v>97</v>
      </c>
      <c r="BS550" t="s">
        <v>7550</v>
      </c>
      <c r="BT550" t="str">
        <f>HYPERLINK("https%3A%2F%2Fwww.webofscience.com%2Fwos%2Fwoscc%2Ffull-record%2FWOS:000090117700005","View Full Record in Web of Science")</f>
        <v>View Full Record in Web of Science</v>
      </c>
    </row>
    <row r="551" spans="1:72" x14ac:dyDescent="0.15">
      <c r="A551" t="s">
        <v>72</v>
      </c>
      <c r="B551" t="s">
        <v>7551</v>
      </c>
      <c r="C551" t="s">
        <v>74</v>
      </c>
      <c r="D551" t="s">
        <v>74</v>
      </c>
      <c r="E551" t="s">
        <v>74</v>
      </c>
      <c r="F551" t="s">
        <v>7551</v>
      </c>
      <c r="G551" t="s">
        <v>74</v>
      </c>
      <c r="H551" t="s">
        <v>74</v>
      </c>
      <c r="I551" t="s">
        <v>7552</v>
      </c>
      <c r="J551" t="s">
        <v>235</v>
      </c>
      <c r="K551" t="s">
        <v>74</v>
      </c>
      <c r="L551" t="s">
        <v>74</v>
      </c>
      <c r="M551" t="s">
        <v>77</v>
      </c>
      <c r="N551" t="s">
        <v>78</v>
      </c>
      <c r="O551" t="s">
        <v>74</v>
      </c>
      <c r="P551" t="s">
        <v>74</v>
      </c>
      <c r="Q551" t="s">
        <v>74</v>
      </c>
      <c r="R551" t="s">
        <v>74</v>
      </c>
      <c r="S551" t="s">
        <v>74</v>
      </c>
      <c r="T551" t="s">
        <v>74</v>
      </c>
      <c r="U551" t="s">
        <v>7553</v>
      </c>
      <c r="V551" t="s">
        <v>7554</v>
      </c>
      <c r="W551" t="s">
        <v>7555</v>
      </c>
      <c r="X551" t="s">
        <v>7556</v>
      </c>
      <c r="Y551" t="s">
        <v>7557</v>
      </c>
      <c r="Z551" t="s">
        <v>74</v>
      </c>
      <c r="AA551" t="s">
        <v>7558</v>
      </c>
      <c r="AB551" t="s">
        <v>74</v>
      </c>
      <c r="AC551" t="s">
        <v>74</v>
      </c>
      <c r="AD551" t="s">
        <v>74</v>
      </c>
      <c r="AE551" t="s">
        <v>74</v>
      </c>
      <c r="AF551" t="s">
        <v>74</v>
      </c>
      <c r="AG551">
        <v>80</v>
      </c>
      <c r="AH551">
        <v>75</v>
      </c>
      <c r="AI551">
        <v>86</v>
      </c>
      <c r="AJ551">
        <v>0</v>
      </c>
      <c r="AK551">
        <v>21</v>
      </c>
      <c r="AL551" t="s">
        <v>245</v>
      </c>
      <c r="AM551" t="s">
        <v>246</v>
      </c>
      <c r="AN551" t="s">
        <v>247</v>
      </c>
      <c r="AO551" t="s">
        <v>248</v>
      </c>
      <c r="AP551" t="s">
        <v>74</v>
      </c>
      <c r="AQ551" t="s">
        <v>74</v>
      </c>
      <c r="AR551" t="s">
        <v>249</v>
      </c>
      <c r="AS551" t="s">
        <v>250</v>
      </c>
      <c r="AT551" t="s">
        <v>7461</v>
      </c>
      <c r="AU551">
        <v>2000</v>
      </c>
      <c r="AV551">
        <v>47</v>
      </c>
      <c r="AW551">
        <v>10</v>
      </c>
      <c r="AX551" t="s">
        <v>74</v>
      </c>
      <c r="AY551" t="s">
        <v>74</v>
      </c>
      <c r="AZ551" t="s">
        <v>74</v>
      </c>
      <c r="BA551" t="s">
        <v>74</v>
      </c>
      <c r="BB551">
        <v>1899</v>
      </c>
      <c r="BC551">
        <v>1936</v>
      </c>
      <c r="BD551" t="s">
        <v>74</v>
      </c>
      <c r="BE551" t="s">
        <v>7559</v>
      </c>
      <c r="BF551" t="str">
        <f>HYPERLINK("http://dx.doi.org/10.1016/S0967-0637(00)00008-X","http://dx.doi.org/10.1016/S0967-0637(00)00008-X")</f>
        <v>http://dx.doi.org/10.1016/S0967-0637(00)00008-X</v>
      </c>
      <c r="BG551" t="s">
        <v>74</v>
      </c>
      <c r="BH551" t="s">
        <v>74</v>
      </c>
      <c r="BI551">
        <v>38</v>
      </c>
      <c r="BJ551" t="s">
        <v>252</v>
      </c>
      <c r="BK551" t="s">
        <v>94</v>
      </c>
      <c r="BL551" t="s">
        <v>252</v>
      </c>
      <c r="BM551" t="s">
        <v>7560</v>
      </c>
      <c r="BN551" t="s">
        <v>74</v>
      </c>
      <c r="BO551" t="s">
        <v>74</v>
      </c>
      <c r="BP551" t="s">
        <v>74</v>
      </c>
      <c r="BQ551" t="s">
        <v>74</v>
      </c>
      <c r="BR551" t="s">
        <v>97</v>
      </c>
      <c r="BS551" t="s">
        <v>7561</v>
      </c>
      <c r="BT551" t="str">
        <f>HYPERLINK("https%3A%2F%2Fwww.webofscience.com%2Fwos%2Fwoscc%2Ffull-record%2FWOS:000088470100005","View Full Record in Web of Science")</f>
        <v>View Full Record in Web of Science</v>
      </c>
    </row>
    <row r="552" spans="1:72" x14ac:dyDescent="0.15">
      <c r="A552" t="s">
        <v>72</v>
      </c>
      <c r="B552" t="s">
        <v>7562</v>
      </c>
      <c r="C552" t="s">
        <v>74</v>
      </c>
      <c r="D552" t="s">
        <v>74</v>
      </c>
      <c r="E552" t="s">
        <v>74</v>
      </c>
      <c r="F552" t="s">
        <v>7562</v>
      </c>
      <c r="G552" t="s">
        <v>74</v>
      </c>
      <c r="H552" t="s">
        <v>74</v>
      </c>
      <c r="I552" t="s">
        <v>7563</v>
      </c>
      <c r="J552" t="s">
        <v>7564</v>
      </c>
      <c r="K552" t="s">
        <v>74</v>
      </c>
      <c r="L552" t="s">
        <v>74</v>
      </c>
      <c r="M552" t="s">
        <v>77</v>
      </c>
      <c r="N552" t="s">
        <v>236</v>
      </c>
      <c r="O552" t="s">
        <v>74</v>
      </c>
      <c r="P552" t="s">
        <v>74</v>
      </c>
      <c r="Q552" t="s">
        <v>74</v>
      </c>
      <c r="R552" t="s">
        <v>74</v>
      </c>
      <c r="S552" t="s">
        <v>74</v>
      </c>
      <c r="T552" t="s">
        <v>74</v>
      </c>
      <c r="U552" t="s">
        <v>7565</v>
      </c>
      <c r="V552" t="s">
        <v>7566</v>
      </c>
      <c r="W552" t="s">
        <v>7567</v>
      </c>
      <c r="X552" t="s">
        <v>7568</v>
      </c>
      <c r="Y552" t="s">
        <v>7569</v>
      </c>
      <c r="Z552" t="s">
        <v>74</v>
      </c>
      <c r="AA552" t="s">
        <v>74</v>
      </c>
      <c r="AB552" t="s">
        <v>74</v>
      </c>
      <c r="AC552" t="s">
        <v>74</v>
      </c>
      <c r="AD552" t="s">
        <v>74</v>
      </c>
      <c r="AE552" t="s">
        <v>74</v>
      </c>
      <c r="AF552" t="s">
        <v>74</v>
      </c>
      <c r="AG552">
        <v>36</v>
      </c>
      <c r="AH552">
        <v>4</v>
      </c>
      <c r="AI552">
        <v>5</v>
      </c>
      <c r="AJ552">
        <v>0</v>
      </c>
      <c r="AK552">
        <v>19</v>
      </c>
      <c r="AL552" t="s">
        <v>7570</v>
      </c>
      <c r="AM552" t="s">
        <v>7571</v>
      </c>
      <c r="AN552" t="s">
        <v>7572</v>
      </c>
      <c r="AO552" t="s">
        <v>7573</v>
      </c>
      <c r="AP552" t="s">
        <v>74</v>
      </c>
      <c r="AQ552" t="s">
        <v>74</v>
      </c>
      <c r="AR552" t="s">
        <v>7574</v>
      </c>
      <c r="AS552" t="s">
        <v>7575</v>
      </c>
      <c r="AT552" t="s">
        <v>7461</v>
      </c>
      <c r="AU552">
        <v>2000</v>
      </c>
      <c r="AV552">
        <v>50</v>
      </c>
      <c r="AW552">
        <v>4</v>
      </c>
      <c r="AX552" t="s">
        <v>74</v>
      </c>
      <c r="AY552" t="s">
        <v>74</v>
      </c>
      <c r="AZ552" t="s">
        <v>74</v>
      </c>
      <c r="BA552" t="s">
        <v>74</v>
      </c>
      <c r="BB552">
        <v>371</v>
      </c>
      <c r="BC552">
        <v>382</v>
      </c>
      <c r="BD552" t="s">
        <v>74</v>
      </c>
      <c r="BE552" t="s">
        <v>7576</v>
      </c>
      <c r="BF552" t="str">
        <f>HYPERLINK("http://dx.doi.org/10.14429/dsj.50.3748","http://dx.doi.org/10.14429/dsj.50.3748")</f>
        <v>http://dx.doi.org/10.14429/dsj.50.3748</v>
      </c>
      <c r="BG552" t="s">
        <v>74</v>
      </c>
      <c r="BH552" t="s">
        <v>74</v>
      </c>
      <c r="BI552">
        <v>12</v>
      </c>
      <c r="BJ552" t="s">
        <v>93</v>
      </c>
      <c r="BK552" t="s">
        <v>94</v>
      </c>
      <c r="BL552" t="s">
        <v>95</v>
      </c>
      <c r="BM552" t="s">
        <v>7577</v>
      </c>
      <c r="BN552" t="s">
        <v>74</v>
      </c>
      <c r="BO552" t="s">
        <v>74</v>
      </c>
      <c r="BP552" t="s">
        <v>74</v>
      </c>
      <c r="BQ552" t="s">
        <v>74</v>
      </c>
      <c r="BR552" t="s">
        <v>97</v>
      </c>
      <c r="BS552" t="s">
        <v>7578</v>
      </c>
      <c r="BT552" t="str">
        <f>HYPERLINK("https%3A%2F%2Fwww.webofscience.com%2Fwos%2Fwoscc%2Ffull-record%2FWOS:000165167100004","View Full Record in Web of Science")</f>
        <v>View Full Record in Web of Science</v>
      </c>
    </row>
    <row r="553" spans="1:72" x14ac:dyDescent="0.15">
      <c r="A553" t="s">
        <v>72</v>
      </c>
      <c r="B553" t="s">
        <v>7579</v>
      </c>
      <c r="C553" t="s">
        <v>74</v>
      </c>
      <c r="D553" t="s">
        <v>74</v>
      </c>
      <c r="E553" t="s">
        <v>74</v>
      </c>
      <c r="F553" t="s">
        <v>7579</v>
      </c>
      <c r="G553" t="s">
        <v>74</v>
      </c>
      <c r="H553" t="s">
        <v>74</v>
      </c>
      <c r="I553" t="s">
        <v>7580</v>
      </c>
      <c r="J553" t="s">
        <v>7581</v>
      </c>
      <c r="K553" t="s">
        <v>74</v>
      </c>
      <c r="L553" t="s">
        <v>74</v>
      </c>
      <c r="M553" t="s">
        <v>77</v>
      </c>
      <c r="N553" t="s">
        <v>78</v>
      </c>
      <c r="O553" t="s">
        <v>74</v>
      </c>
      <c r="P553" t="s">
        <v>74</v>
      </c>
      <c r="Q553" t="s">
        <v>74</v>
      </c>
      <c r="R553" t="s">
        <v>74</v>
      </c>
      <c r="S553" t="s">
        <v>74</v>
      </c>
      <c r="T553" t="s">
        <v>74</v>
      </c>
      <c r="U553" t="s">
        <v>7582</v>
      </c>
      <c r="V553" t="s">
        <v>7583</v>
      </c>
      <c r="W553" t="s">
        <v>7584</v>
      </c>
      <c r="X553" t="s">
        <v>7585</v>
      </c>
      <c r="Y553" t="s">
        <v>7586</v>
      </c>
      <c r="Z553" t="s">
        <v>74</v>
      </c>
      <c r="AA553" t="s">
        <v>74</v>
      </c>
      <c r="AB553" t="s">
        <v>7587</v>
      </c>
      <c r="AC553" t="s">
        <v>74</v>
      </c>
      <c r="AD553" t="s">
        <v>74</v>
      </c>
      <c r="AE553" t="s">
        <v>74</v>
      </c>
      <c r="AF553" t="s">
        <v>74</v>
      </c>
      <c r="AG553">
        <v>35</v>
      </c>
      <c r="AH553">
        <v>55</v>
      </c>
      <c r="AI553">
        <v>58</v>
      </c>
      <c r="AJ553">
        <v>0</v>
      </c>
      <c r="AK553">
        <v>9</v>
      </c>
      <c r="AL553" t="s">
        <v>108</v>
      </c>
      <c r="AM553" t="s">
        <v>7588</v>
      </c>
      <c r="AN553" t="s">
        <v>7589</v>
      </c>
      <c r="AO553" t="s">
        <v>7590</v>
      </c>
      <c r="AP553" t="s">
        <v>74</v>
      </c>
      <c r="AQ553" t="s">
        <v>74</v>
      </c>
      <c r="AR553" t="s">
        <v>7591</v>
      </c>
      <c r="AS553" t="s">
        <v>7592</v>
      </c>
      <c r="AT553" t="s">
        <v>7461</v>
      </c>
      <c r="AU553">
        <v>2000</v>
      </c>
      <c r="AV553">
        <v>125</v>
      </c>
      <c r="AW553">
        <v>2</v>
      </c>
      <c r="AX553" t="s">
        <v>74</v>
      </c>
      <c r="AY553" t="s">
        <v>74</v>
      </c>
      <c r="AZ553" t="s">
        <v>74</v>
      </c>
      <c r="BA553" t="s">
        <v>74</v>
      </c>
      <c r="BB553">
        <v>257</v>
      </c>
      <c r="BC553">
        <v>262</v>
      </c>
      <c r="BD553" t="s">
        <v>74</v>
      </c>
      <c r="BE553" t="s">
        <v>7593</v>
      </c>
      <c r="BF553" t="str">
        <f>HYPERLINK("http://dx.doi.org/10.1017/S0950268899004586","http://dx.doi.org/10.1017/S0950268899004586")</f>
        <v>http://dx.doi.org/10.1017/S0950268899004586</v>
      </c>
      <c r="BG553" t="s">
        <v>74</v>
      </c>
      <c r="BH553" t="s">
        <v>74</v>
      </c>
      <c r="BI553">
        <v>6</v>
      </c>
      <c r="BJ553" t="s">
        <v>7594</v>
      </c>
      <c r="BK553" t="s">
        <v>94</v>
      </c>
      <c r="BL553" t="s">
        <v>7594</v>
      </c>
      <c r="BM553" t="s">
        <v>7595</v>
      </c>
      <c r="BN553">
        <v>11117947</v>
      </c>
      <c r="BO553" t="s">
        <v>2097</v>
      </c>
      <c r="BP553" t="s">
        <v>74</v>
      </c>
      <c r="BQ553" t="s">
        <v>74</v>
      </c>
      <c r="BR553" t="s">
        <v>97</v>
      </c>
      <c r="BS553" t="s">
        <v>7596</v>
      </c>
      <c r="BT553" t="str">
        <f>HYPERLINK("https%3A%2F%2Fwww.webofscience.com%2Fwos%2Fwoscc%2Ffull-record%2FWOS:000168097400002","View Full Record in Web of Science")</f>
        <v>View Full Record in Web of Science</v>
      </c>
    </row>
    <row r="554" spans="1:72" x14ac:dyDescent="0.15">
      <c r="A554" t="s">
        <v>72</v>
      </c>
      <c r="B554" t="s">
        <v>7597</v>
      </c>
      <c r="C554" t="s">
        <v>74</v>
      </c>
      <c r="D554" t="s">
        <v>74</v>
      </c>
      <c r="E554" t="s">
        <v>74</v>
      </c>
      <c r="F554" t="s">
        <v>7597</v>
      </c>
      <c r="G554" t="s">
        <v>74</v>
      </c>
      <c r="H554" t="s">
        <v>74</v>
      </c>
      <c r="I554" t="s">
        <v>7598</v>
      </c>
      <c r="J554" t="s">
        <v>806</v>
      </c>
      <c r="K554" t="s">
        <v>74</v>
      </c>
      <c r="L554" t="s">
        <v>74</v>
      </c>
      <c r="M554" t="s">
        <v>77</v>
      </c>
      <c r="N554" t="s">
        <v>78</v>
      </c>
      <c r="O554" t="s">
        <v>74</v>
      </c>
      <c r="P554" t="s">
        <v>74</v>
      </c>
      <c r="Q554" t="s">
        <v>74</v>
      </c>
      <c r="R554" t="s">
        <v>74</v>
      </c>
      <c r="S554" t="s">
        <v>74</v>
      </c>
      <c r="T554" t="s">
        <v>7599</v>
      </c>
      <c r="U554" t="s">
        <v>7600</v>
      </c>
      <c r="V554" t="s">
        <v>7601</v>
      </c>
      <c r="W554" t="s">
        <v>7602</v>
      </c>
      <c r="X554" t="s">
        <v>7603</v>
      </c>
      <c r="Y554" t="s">
        <v>5566</v>
      </c>
      <c r="Z554" t="s">
        <v>74</v>
      </c>
      <c r="AA554" t="s">
        <v>74</v>
      </c>
      <c r="AB554" t="s">
        <v>5567</v>
      </c>
      <c r="AC554" t="s">
        <v>74</v>
      </c>
      <c r="AD554" t="s">
        <v>74</v>
      </c>
      <c r="AE554" t="s">
        <v>74</v>
      </c>
      <c r="AF554" t="s">
        <v>74</v>
      </c>
      <c r="AG554">
        <v>27</v>
      </c>
      <c r="AH554">
        <v>22</v>
      </c>
      <c r="AI554">
        <v>26</v>
      </c>
      <c r="AJ554">
        <v>0</v>
      </c>
      <c r="AK554">
        <v>8</v>
      </c>
      <c r="AL554" t="s">
        <v>719</v>
      </c>
      <c r="AM554" t="s">
        <v>246</v>
      </c>
      <c r="AN554" t="s">
        <v>720</v>
      </c>
      <c r="AO554" t="s">
        <v>816</v>
      </c>
      <c r="AP554" t="s">
        <v>74</v>
      </c>
      <c r="AQ554" t="s">
        <v>74</v>
      </c>
      <c r="AR554" t="s">
        <v>817</v>
      </c>
      <c r="AS554" t="s">
        <v>818</v>
      </c>
      <c r="AT554" t="s">
        <v>7461</v>
      </c>
      <c r="AU554">
        <v>2000</v>
      </c>
      <c r="AV554">
        <v>267</v>
      </c>
      <c r="AW554">
        <v>19</v>
      </c>
      <c r="AX554" t="s">
        <v>74</v>
      </c>
      <c r="AY554" t="s">
        <v>74</v>
      </c>
      <c r="AZ554" t="s">
        <v>74</v>
      </c>
      <c r="BA554" t="s">
        <v>74</v>
      </c>
      <c r="BB554">
        <v>6089</v>
      </c>
      <c r="BC554">
        <v>6098</v>
      </c>
      <c r="BD554" t="s">
        <v>74</v>
      </c>
      <c r="BE554" t="s">
        <v>7604</v>
      </c>
      <c r="BF554" t="str">
        <f>HYPERLINK("http://dx.doi.org/10.1046/j.1432-1327.2000.01699.x","http://dx.doi.org/10.1046/j.1432-1327.2000.01699.x")</f>
        <v>http://dx.doi.org/10.1046/j.1432-1327.2000.01699.x</v>
      </c>
      <c r="BG554" t="s">
        <v>74</v>
      </c>
      <c r="BH554" t="s">
        <v>74</v>
      </c>
      <c r="BI554">
        <v>10</v>
      </c>
      <c r="BJ554" t="s">
        <v>820</v>
      </c>
      <c r="BK554" t="s">
        <v>94</v>
      </c>
      <c r="BL554" t="s">
        <v>820</v>
      </c>
      <c r="BM554" t="s">
        <v>7605</v>
      </c>
      <c r="BN554">
        <v>10998071</v>
      </c>
      <c r="BO554" t="s">
        <v>1755</v>
      </c>
      <c r="BP554" t="s">
        <v>74</v>
      </c>
      <c r="BQ554" t="s">
        <v>74</v>
      </c>
      <c r="BR554" t="s">
        <v>97</v>
      </c>
      <c r="BS554" t="s">
        <v>7606</v>
      </c>
      <c r="BT554" t="str">
        <f>HYPERLINK("https%3A%2F%2Fwww.webofscience.com%2Fwos%2Fwoscc%2Ffull-record%2FWOS:000089719100031","View Full Record in Web of Science")</f>
        <v>View Full Record in Web of Science</v>
      </c>
    </row>
    <row r="555" spans="1:72" x14ac:dyDescent="0.15">
      <c r="A555" t="s">
        <v>72</v>
      </c>
      <c r="B555" t="s">
        <v>7607</v>
      </c>
      <c r="C555" t="s">
        <v>74</v>
      </c>
      <c r="D555" t="s">
        <v>74</v>
      </c>
      <c r="E555" t="s">
        <v>74</v>
      </c>
      <c r="F555" t="s">
        <v>7607</v>
      </c>
      <c r="G555" t="s">
        <v>74</v>
      </c>
      <c r="H555" t="s">
        <v>74</v>
      </c>
      <c r="I555" t="s">
        <v>7608</v>
      </c>
      <c r="J555" t="s">
        <v>7609</v>
      </c>
      <c r="K555" t="s">
        <v>74</v>
      </c>
      <c r="L555" t="s">
        <v>74</v>
      </c>
      <c r="M555" t="s">
        <v>77</v>
      </c>
      <c r="N555" t="s">
        <v>78</v>
      </c>
      <c r="O555" t="s">
        <v>74</v>
      </c>
      <c r="P555" t="s">
        <v>74</v>
      </c>
      <c r="Q555" t="s">
        <v>74</v>
      </c>
      <c r="R555" t="s">
        <v>74</v>
      </c>
      <c r="S555" t="s">
        <v>74</v>
      </c>
      <c r="T555" t="s">
        <v>74</v>
      </c>
      <c r="U555" t="s">
        <v>7610</v>
      </c>
      <c r="V555" t="s">
        <v>7611</v>
      </c>
      <c r="W555" t="s">
        <v>7612</v>
      </c>
      <c r="X555" t="s">
        <v>7613</v>
      </c>
      <c r="Y555" t="s">
        <v>7614</v>
      </c>
      <c r="Z555" t="s">
        <v>74</v>
      </c>
      <c r="AA555" t="s">
        <v>7615</v>
      </c>
      <c r="AB555" t="s">
        <v>74</v>
      </c>
      <c r="AC555" t="s">
        <v>74</v>
      </c>
      <c r="AD555" t="s">
        <v>74</v>
      </c>
      <c r="AE555" t="s">
        <v>74</v>
      </c>
      <c r="AF555" t="s">
        <v>74</v>
      </c>
      <c r="AG555">
        <v>25</v>
      </c>
      <c r="AH555">
        <v>17</v>
      </c>
      <c r="AI555">
        <v>20</v>
      </c>
      <c r="AJ555">
        <v>1</v>
      </c>
      <c r="AK555">
        <v>12</v>
      </c>
      <c r="AL555" t="s">
        <v>7616</v>
      </c>
      <c r="AM555" t="s">
        <v>566</v>
      </c>
      <c r="AN555" t="s">
        <v>7617</v>
      </c>
      <c r="AO555" t="s">
        <v>7618</v>
      </c>
      <c r="AP555" t="s">
        <v>74</v>
      </c>
      <c r="AQ555" t="s">
        <v>74</v>
      </c>
      <c r="AR555" t="s">
        <v>7619</v>
      </c>
      <c r="AS555" t="s">
        <v>7620</v>
      </c>
      <c r="AT555" t="s">
        <v>7461</v>
      </c>
      <c r="AU555">
        <v>2000</v>
      </c>
      <c r="AV555">
        <v>30</v>
      </c>
      <c r="AW555">
        <v>5</v>
      </c>
      <c r="AX555" t="s">
        <v>74</v>
      </c>
      <c r="AY555" t="s">
        <v>74</v>
      </c>
      <c r="AZ555" t="s">
        <v>74</v>
      </c>
      <c r="BA555" t="s">
        <v>74</v>
      </c>
      <c r="BB555">
        <v>265</v>
      </c>
      <c r="BC555">
        <v>275</v>
      </c>
      <c r="BD555" t="s">
        <v>74</v>
      </c>
      <c r="BE555" t="s">
        <v>74</v>
      </c>
      <c r="BF555" t="s">
        <v>74</v>
      </c>
      <c r="BG555" t="s">
        <v>74</v>
      </c>
      <c r="BH555" t="s">
        <v>74</v>
      </c>
      <c r="BI555">
        <v>11</v>
      </c>
      <c r="BJ555" t="s">
        <v>7621</v>
      </c>
      <c r="BK555" t="s">
        <v>94</v>
      </c>
      <c r="BL555" t="s">
        <v>7621</v>
      </c>
      <c r="BM555" t="s">
        <v>7622</v>
      </c>
      <c r="BN555" t="s">
        <v>74</v>
      </c>
      <c r="BO555" t="s">
        <v>74</v>
      </c>
      <c r="BP555" t="s">
        <v>74</v>
      </c>
      <c r="BQ555" t="s">
        <v>74</v>
      </c>
      <c r="BR555" t="s">
        <v>97</v>
      </c>
      <c r="BS555" t="s">
        <v>7623</v>
      </c>
      <c r="BT555" t="str">
        <f>HYPERLINK("https%3A%2F%2Fwww.webofscience.com%2Fwos%2Fwoscc%2Ffull-record%2FWOS:000090113600003","View Full Record in Web of Science")</f>
        <v>View Full Record in Web of Science</v>
      </c>
    </row>
    <row r="556" spans="1:72" x14ac:dyDescent="0.15">
      <c r="A556" t="s">
        <v>72</v>
      </c>
      <c r="B556" t="s">
        <v>7624</v>
      </c>
      <c r="C556" t="s">
        <v>74</v>
      </c>
      <c r="D556" t="s">
        <v>74</v>
      </c>
      <c r="E556" t="s">
        <v>74</v>
      </c>
      <c r="F556" t="s">
        <v>7624</v>
      </c>
      <c r="G556" t="s">
        <v>74</v>
      </c>
      <c r="H556" t="s">
        <v>74</v>
      </c>
      <c r="I556" t="s">
        <v>7625</v>
      </c>
      <c r="J556" t="s">
        <v>7626</v>
      </c>
      <c r="K556" t="s">
        <v>74</v>
      </c>
      <c r="L556" t="s">
        <v>74</v>
      </c>
      <c r="M556" t="s">
        <v>77</v>
      </c>
      <c r="N556" t="s">
        <v>78</v>
      </c>
      <c r="O556" t="s">
        <v>74</v>
      </c>
      <c r="P556" t="s">
        <v>74</v>
      </c>
      <c r="Q556" t="s">
        <v>74</v>
      </c>
      <c r="R556" t="s">
        <v>74</v>
      </c>
      <c r="S556" t="s">
        <v>74</v>
      </c>
      <c r="T556" t="s">
        <v>7627</v>
      </c>
      <c r="U556" t="s">
        <v>7628</v>
      </c>
      <c r="V556" t="s">
        <v>7629</v>
      </c>
      <c r="W556" t="s">
        <v>885</v>
      </c>
      <c r="X556" t="s">
        <v>221</v>
      </c>
      <c r="Y556" t="s">
        <v>2200</v>
      </c>
      <c r="Z556" t="s">
        <v>74</v>
      </c>
      <c r="AA556" t="s">
        <v>74</v>
      </c>
      <c r="AB556" t="s">
        <v>74</v>
      </c>
      <c r="AC556" t="s">
        <v>74</v>
      </c>
      <c r="AD556" t="s">
        <v>74</v>
      </c>
      <c r="AE556" t="s">
        <v>74</v>
      </c>
      <c r="AF556" t="s">
        <v>74</v>
      </c>
      <c r="AG556">
        <v>37</v>
      </c>
      <c r="AH556">
        <v>105</v>
      </c>
      <c r="AI556">
        <v>118</v>
      </c>
      <c r="AJ556">
        <v>3</v>
      </c>
      <c r="AK556">
        <v>38</v>
      </c>
      <c r="AL556" t="s">
        <v>813</v>
      </c>
      <c r="AM556" t="s">
        <v>814</v>
      </c>
      <c r="AN556" t="s">
        <v>815</v>
      </c>
      <c r="AO556" t="s">
        <v>7630</v>
      </c>
      <c r="AP556" t="s">
        <v>7631</v>
      </c>
      <c r="AQ556" t="s">
        <v>74</v>
      </c>
      <c r="AR556" t="s">
        <v>7632</v>
      </c>
      <c r="AS556" t="s">
        <v>7633</v>
      </c>
      <c r="AT556" t="s">
        <v>7461</v>
      </c>
      <c r="AU556">
        <v>2000</v>
      </c>
      <c r="AV556">
        <v>14</v>
      </c>
      <c r="AW556">
        <v>5</v>
      </c>
      <c r="AX556" t="s">
        <v>74</v>
      </c>
      <c r="AY556" t="s">
        <v>74</v>
      </c>
      <c r="AZ556" t="s">
        <v>74</v>
      </c>
      <c r="BA556" t="s">
        <v>74</v>
      </c>
      <c r="BB556">
        <v>623</v>
      </c>
      <c r="BC556">
        <v>630</v>
      </c>
      <c r="BD556" t="s">
        <v>74</v>
      </c>
      <c r="BE556" t="s">
        <v>7634</v>
      </c>
      <c r="BF556" t="str">
        <f>HYPERLINK("http://dx.doi.org/10.1046/j.1365-2435.2000.t01-1-00463.x","http://dx.doi.org/10.1046/j.1365-2435.2000.t01-1-00463.x")</f>
        <v>http://dx.doi.org/10.1046/j.1365-2435.2000.t01-1-00463.x</v>
      </c>
      <c r="BG556" t="s">
        <v>74</v>
      </c>
      <c r="BH556" t="s">
        <v>74</v>
      </c>
      <c r="BI556">
        <v>8</v>
      </c>
      <c r="BJ556" t="s">
        <v>5913</v>
      </c>
      <c r="BK556" t="s">
        <v>94</v>
      </c>
      <c r="BL556" t="s">
        <v>114</v>
      </c>
      <c r="BM556" t="s">
        <v>7635</v>
      </c>
      <c r="BN556" t="s">
        <v>74</v>
      </c>
      <c r="BO556" t="s">
        <v>74</v>
      </c>
      <c r="BP556" t="s">
        <v>74</v>
      </c>
      <c r="BQ556" t="s">
        <v>74</v>
      </c>
      <c r="BR556" t="s">
        <v>97</v>
      </c>
      <c r="BS556" t="s">
        <v>7636</v>
      </c>
      <c r="BT556" t="str">
        <f>HYPERLINK("https%3A%2F%2Fwww.webofscience.com%2Fwos%2Fwoscc%2Ffull-record%2FWOS:000165080800012","View Full Record in Web of Science")</f>
        <v>View Full Record in Web of Science</v>
      </c>
    </row>
    <row r="557" spans="1:72" x14ac:dyDescent="0.15">
      <c r="A557" t="s">
        <v>72</v>
      </c>
      <c r="B557" t="s">
        <v>7637</v>
      </c>
      <c r="C557" t="s">
        <v>74</v>
      </c>
      <c r="D557" t="s">
        <v>74</v>
      </c>
      <c r="E557" t="s">
        <v>74</v>
      </c>
      <c r="F557" t="s">
        <v>7637</v>
      </c>
      <c r="G557" t="s">
        <v>74</v>
      </c>
      <c r="H557" t="s">
        <v>74</v>
      </c>
      <c r="I557" t="s">
        <v>7638</v>
      </c>
      <c r="J557" t="s">
        <v>6729</v>
      </c>
      <c r="K557" t="s">
        <v>74</v>
      </c>
      <c r="L557" t="s">
        <v>74</v>
      </c>
      <c r="M557" t="s">
        <v>77</v>
      </c>
      <c r="N557" t="s">
        <v>78</v>
      </c>
      <c r="O557" t="s">
        <v>74</v>
      </c>
      <c r="P557" t="s">
        <v>74</v>
      </c>
      <c r="Q557" t="s">
        <v>74</v>
      </c>
      <c r="R557" t="s">
        <v>74</v>
      </c>
      <c r="S557" t="s">
        <v>74</v>
      </c>
      <c r="T557" t="s">
        <v>74</v>
      </c>
      <c r="U557" t="s">
        <v>7639</v>
      </c>
      <c r="V557" t="s">
        <v>7640</v>
      </c>
      <c r="W557" t="s">
        <v>7641</v>
      </c>
      <c r="X557" t="s">
        <v>7642</v>
      </c>
      <c r="Y557" t="s">
        <v>7643</v>
      </c>
      <c r="Z557" t="s">
        <v>7644</v>
      </c>
      <c r="AA557" t="s">
        <v>74</v>
      </c>
      <c r="AB557" t="s">
        <v>74</v>
      </c>
      <c r="AC557" t="s">
        <v>74</v>
      </c>
      <c r="AD557" t="s">
        <v>74</v>
      </c>
      <c r="AE557" t="s">
        <v>74</v>
      </c>
      <c r="AF557" t="s">
        <v>74</v>
      </c>
      <c r="AG557">
        <v>45</v>
      </c>
      <c r="AH557">
        <v>299</v>
      </c>
      <c r="AI557">
        <v>336</v>
      </c>
      <c r="AJ557">
        <v>1</v>
      </c>
      <c r="AK557">
        <v>45</v>
      </c>
      <c r="AL557" t="s">
        <v>245</v>
      </c>
      <c r="AM557" t="s">
        <v>246</v>
      </c>
      <c r="AN557" t="s">
        <v>247</v>
      </c>
      <c r="AO557" t="s">
        <v>6736</v>
      </c>
      <c r="AP557" t="s">
        <v>7645</v>
      </c>
      <c r="AQ557" t="s">
        <v>74</v>
      </c>
      <c r="AR557" t="s">
        <v>6737</v>
      </c>
      <c r="AS557" t="s">
        <v>6738</v>
      </c>
      <c r="AT557" t="s">
        <v>7461</v>
      </c>
      <c r="AU557">
        <v>2000</v>
      </c>
      <c r="AV557">
        <v>64</v>
      </c>
      <c r="AW557">
        <v>19</v>
      </c>
      <c r="AX557" t="s">
        <v>74</v>
      </c>
      <c r="AY557" t="s">
        <v>74</v>
      </c>
      <c r="AZ557" t="s">
        <v>74</v>
      </c>
      <c r="BA557" t="s">
        <v>74</v>
      </c>
      <c r="BB557">
        <v>3251</v>
      </c>
      <c r="BC557">
        <v>3262</v>
      </c>
      <c r="BD557" t="s">
        <v>74</v>
      </c>
      <c r="BE557" t="s">
        <v>7646</v>
      </c>
      <c r="BF557" t="str">
        <f>HYPERLINK("http://dx.doi.org/10.1016/S0016-7037(00)00436-1","http://dx.doi.org/10.1016/S0016-7037(00)00436-1")</f>
        <v>http://dx.doi.org/10.1016/S0016-7037(00)00436-1</v>
      </c>
      <c r="BG557" t="s">
        <v>74</v>
      </c>
      <c r="BH557" t="s">
        <v>74</v>
      </c>
      <c r="BI557">
        <v>12</v>
      </c>
      <c r="BJ557" t="s">
        <v>953</v>
      </c>
      <c r="BK557" t="s">
        <v>94</v>
      </c>
      <c r="BL557" t="s">
        <v>953</v>
      </c>
      <c r="BM557" t="s">
        <v>7647</v>
      </c>
      <c r="BN557" t="s">
        <v>74</v>
      </c>
      <c r="BO557" t="s">
        <v>74</v>
      </c>
      <c r="BP557" t="s">
        <v>74</v>
      </c>
      <c r="BQ557" t="s">
        <v>74</v>
      </c>
      <c r="BR557" t="s">
        <v>97</v>
      </c>
      <c r="BS557" t="s">
        <v>7648</v>
      </c>
      <c r="BT557" t="str">
        <f>HYPERLINK("https%3A%2F%2Fwww.webofscience.com%2Fwos%2Fwoscc%2Ffull-record%2FWOS:000089664100001","View Full Record in Web of Science")</f>
        <v>View Full Record in Web of Science</v>
      </c>
    </row>
    <row r="558" spans="1:72" x14ac:dyDescent="0.15">
      <c r="A558" t="s">
        <v>72</v>
      </c>
      <c r="B558" t="s">
        <v>7649</v>
      </c>
      <c r="C558" t="s">
        <v>74</v>
      </c>
      <c r="D558" t="s">
        <v>74</v>
      </c>
      <c r="E558" t="s">
        <v>74</v>
      </c>
      <c r="F558" t="s">
        <v>7649</v>
      </c>
      <c r="G558" t="s">
        <v>74</v>
      </c>
      <c r="H558" t="s">
        <v>74</v>
      </c>
      <c r="I558" t="s">
        <v>7650</v>
      </c>
      <c r="J558" t="s">
        <v>975</v>
      </c>
      <c r="K558" t="s">
        <v>74</v>
      </c>
      <c r="L558" t="s">
        <v>74</v>
      </c>
      <c r="M558" t="s">
        <v>77</v>
      </c>
      <c r="N558" t="s">
        <v>78</v>
      </c>
      <c r="O558" t="s">
        <v>74</v>
      </c>
      <c r="P558" t="s">
        <v>74</v>
      </c>
      <c r="Q558" t="s">
        <v>74</v>
      </c>
      <c r="R558" t="s">
        <v>74</v>
      </c>
      <c r="S558" t="s">
        <v>74</v>
      </c>
      <c r="T558" t="s">
        <v>7651</v>
      </c>
      <c r="U558" t="s">
        <v>7652</v>
      </c>
      <c r="V558" t="s">
        <v>7653</v>
      </c>
      <c r="W558" t="s">
        <v>7654</v>
      </c>
      <c r="X558" t="s">
        <v>7642</v>
      </c>
      <c r="Y558" t="s">
        <v>7655</v>
      </c>
      <c r="Z558" t="s">
        <v>74</v>
      </c>
      <c r="AA558" t="s">
        <v>7656</v>
      </c>
      <c r="AB558" t="s">
        <v>7657</v>
      </c>
      <c r="AC558" t="s">
        <v>74</v>
      </c>
      <c r="AD558" t="s">
        <v>74</v>
      </c>
      <c r="AE558" t="s">
        <v>74</v>
      </c>
      <c r="AF558" t="s">
        <v>74</v>
      </c>
      <c r="AG558">
        <v>23</v>
      </c>
      <c r="AH558">
        <v>366</v>
      </c>
      <c r="AI558">
        <v>405</v>
      </c>
      <c r="AJ558">
        <v>1</v>
      </c>
      <c r="AK558">
        <v>29</v>
      </c>
      <c r="AL558" t="s">
        <v>981</v>
      </c>
      <c r="AM558" t="s">
        <v>982</v>
      </c>
      <c r="AN558" t="s">
        <v>983</v>
      </c>
      <c r="AO558" t="s">
        <v>984</v>
      </c>
      <c r="AP558" t="s">
        <v>74</v>
      </c>
      <c r="AQ558" t="s">
        <v>74</v>
      </c>
      <c r="AR558" t="s">
        <v>975</v>
      </c>
      <c r="AS558" t="s">
        <v>597</v>
      </c>
      <c r="AT558" t="s">
        <v>7461</v>
      </c>
      <c r="AU558">
        <v>2000</v>
      </c>
      <c r="AV558">
        <v>28</v>
      </c>
      <c r="AW558">
        <v>10</v>
      </c>
      <c r="AX558" t="s">
        <v>74</v>
      </c>
      <c r="AY558" t="s">
        <v>74</v>
      </c>
      <c r="AZ558" t="s">
        <v>74</v>
      </c>
      <c r="BA558" t="s">
        <v>74</v>
      </c>
      <c r="BB558">
        <v>879</v>
      </c>
      <c r="BC558">
        <v>882</v>
      </c>
      <c r="BD558" t="s">
        <v>74</v>
      </c>
      <c r="BE558" t="s">
        <v>7658</v>
      </c>
      <c r="BF558" t="str">
        <f>HYPERLINK("http://dx.doi.org/10.1130/0091-7613(2000)028&lt;0879:GABPIE&gt;2.3.CO;2","http://dx.doi.org/10.1130/0091-7613(2000)028&lt;0879:GABPIE&gt;2.3.CO;2")</f>
        <v>http://dx.doi.org/10.1130/0091-7613(2000)028&lt;0879:GABPIE&gt;2.3.CO;2</v>
      </c>
      <c r="BG558" t="s">
        <v>74</v>
      </c>
      <c r="BH558" t="s">
        <v>74</v>
      </c>
      <c r="BI558">
        <v>4</v>
      </c>
      <c r="BJ558" t="s">
        <v>597</v>
      </c>
      <c r="BK558" t="s">
        <v>94</v>
      </c>
      <c r="BL558" t="s">
        <v>597</v>
      </c>
      <c r="BM558" t="s">
        <v>7659</v>
      </c>
      <c r="BN558" t="s">
        <v>74</v>
      </c>
      <c r="BO558" t="s">
        <v>74</v>
      </c>
      <c r="BP558" t="s">
        <v>74</v>
      </c>
      <c r="BQ558" t="s">
        <v>74</v>
      </c>
      <c r="BR558" t="s">
        <v>97</v>
      </c>
      <c r="BS558" t="s">
        <v>7660</v>
      </c>
      <c r="BT558" t="str">
        <f>HYPERLINK("https%3A%2F%2Fwww.webofscience.com%2Fwos%2Fwoscc%2Ffull-record%2FWOS:000089892300004","View Full Record in Web of Science")</f>
        <v>View Full Record in Web of Science</v>
      </c>
    </row>
    <row r="559" spans="1:72" x14ac:dyDescent="0.15">
      <c r="A559" t="s">
        <v>72</v>
      </c>
      <c r="B559" t="s">
        <v>7661</v>
      </c>
      <c r="C559" t="s">
        <v>74</v>
      </c>
      <c r="D559" t="s">
        <v>74</v>
      </c>
      <c r="E559" t="s">
        <v>74</v>
      </c>
      <c r="F559" t="s">
        <v>7661</v>
      </c>
      <c r="G559" t="s">
        <v>74</v>
      </c>
      <c r="H559" t="s">
        <v>74</v>
      </c>
      <c r="I559" t="s">
        <v>7662</v>
      </c>
      <c r="J559" t="s">
        <v>975</v>
      </c>
      <c r="K559" t="s">
        <v>74</v>
      </c>
      <c r="L559" t="s">
        <v>74</v>
      </c>
      <c r="M559" t="s">
        <v>77</v>
      </c>
      <c r="N559" t="s">
        <v>78</v>
      </c>
      <c r="O559" t="s">
        <v>74</v>
      </c>
      <c r="P559" t="s">
        <v>74</v>
      </c>
      <c r="Q559" t="s">
        <v>74</v>
      </c>
      <c r="R559" t="s">
        <v>74</v>
      </c>
      <c r="S559" t="s">
        <v>74</v>
      </c>
      <c r="T559" t="s">
        <v>7663</v>
      </c>
      <c r="U559" t="s">
        <v>7664</v>
      </c>
      <c r="V559" t="s">
        <v>7665</v>
      </c>
      <c r="W559" t="s">
        <v>7666</v>
      </c>
      <c r="X559" t="s">
        <v>7667</v>
      </c>
      <c r="Y559" t="s">
        <v>7668</v>
      </c>
      <c r="Z559" t="s">
        <v>74</v>
      </c>
      <c r="AA559" t="s">
        <v>74</v>
      </c>
      <c r="AB559" t="s">
        <v>74</v>
      </c>
      <c r="AC559" t="s">
        <v>74</v>
      </c>
      <c r="AD559" t="s">
        <v>74</v>
      </c>
      <c r="AE559" t="s">
        <v>74</v>
      </c>
      <c r="AF559" t="s">
        <v>74</v>
      </c>
      <c r="AG559">
        <v>26</v>
      </c>
      <c r="AH559">
        <v>89</v>
      </c>
      <c r="AI559">
        <v>98</v>
      </c>
      <c r="AJ559">
        <v>1</v>
      </c>
      <c r="AK559">
        <v>12</v>
      </c>
      <c r="AL559" t="s">
        <v>981</v>
      </c>
      <c r="AM559" t="s">
        <v>982</v>
      </c>
      <c r="AN559" t="s">
        <v>983</v>
      </c>
      <c r="AO559" t="s">
        <v>984</v>
      </c>
      <c r="AP559" t="s">
        <v>74</v>
      </c>
      <c r="AQ559" t="s">
        <v>74</v>
      </c>
      <c r="AR559" t="s">
        <v>975</v>
      </c>
      <c r="AS559" t="s">
        <v>597</v>
      </c>
      <c r="AT559" t="s">
        <v>7461</v>
      </c>
      <c r="AU559">
        <v>2000</v>
      </c>
      <c r="AV559">
        <v>28</v>
      </c>
      <c r="AW559">
        <v>10</v>
      </c>
      <c r="AX559" t="s">
        <v>74</v>
      </c>
      <c r="AY559" t="s">
        <v>74</v>
      </c>
      <c r="AZ559" t="s">
        <v>74</v>
      </c>
      <c r="BA559" t="s">
        <v>74</v>
      </c>
      <c r="BB559">
        <v>887</v>
      </c>
      <c r="BC559">
        <v>890</v>
      </c>
      <c r="BD559" t="s">
        <v>74</v>
      </c>
      <c r="BE559" t="s">
        <v>7669</v>
      </c>
      <c r="BF559" t="str">
        <f>HYPERLINK("http://dx.doi.org/10.1130/0091-7613(2000)028&lt;0887:MNFOTE&gt;2.3.CO;2","http://dx.doi.org/10.1130/0091-7613(2000)028&lt;0887:MNFOTE&gt;2.3.CO;2")</f>
        <v>http://dx.doi.org/10.1130/0091-7613(2000)028&lt;0887:MNFOTE&gt;2.3.CO;2</v>
      </c>
      <c r="BG559" t="s">
        <v>74</v>
      </c>
      <c r="BH559" t="s">
        <v>74</v>
      </c>
      <c r="BI559">
        <v>4</v>
      </c>
      <c r="BJ559" t="s">
        <v>597</v>
      </c>
      <c r="BK559" t="s">
        <v>94</v>
      </c>
      <c r="BL559" t="s">
        <v>597</v>
      </c>
      <c r="BM559" t="s">
        <v>7659</v>
      </c>
      <c r="BN559" t="s">
        <v>74</v>
      </c>
      <c r="BO559" t="s">
        <v>74</v>
      </c>
      <c r="BP559" t="s">
        <v>74</v>
      </c>
      <c r="BQ559" t="s">
        <v>74</v>
      </c>
      <c r="BR559" t="s">
        <v>97</v>
      </c>
      <c r="BS559" t="s">
        <v>7670</v>
      </c>
      <c r="BT559" t="str">
        <f>HYPERLINK("https%3A%2F%2Fwww.webofscience.com%2Fwos%2Fwoscc%2Ffull-record%2FWOS:000089892300006","View Full Record in Web of Science")</f>
        <v>View Full Record in Web of Science</v>
      </c>
    </row>
    <row r="560" spans="1:72" x14ac:dyDescent="0.15">
      <c r="A560" t="s">
        <v>72</v>
      </c>
      <c r="B560" t="s">
        <v>7671</v>
      </c>
      <c r="C560" t="s">
        <v>74</v>
      </c>
      <c r="D560" t="s">
        <v>74</v>
      </c>
      <c r="E560" t="s">
        <v>74</v>
      </c>
      <c r="F560" t="s">
        <v>7671</v>
      </c>
      <c r="G560" t="s">
        <v>74</v>
      </c>
      <c r="H560" t="s">
        <v>74</v>
      </c>
      <c r="I560" t="s">
        <v>7672</v>
      </c>
      <c r="J560" t="s">
        <v>7673</v>
      </c>
      <c r="K560" t="s">
        <v>74</v>
      </c>
      <c r="L560" t="s">
        <v>74</v>
      </c>
      <c r="M560" t="s">
        <v>77</v>
      </c>
      <c r="N560" t="s">
        <v>78</v>
      </c>
      <c r="O560" t="s">
        <v>74</v>
      </c>
      <c r="P560" t="s">
        <v>74</v>
      </c>
      <c r="Q560" t="s">
        <v>74</v>
      </c>
      <c r="R560" t="s">
        <v>74</v>
      </c>
      <c r="S560" t="s">
        <v>74</v>
      </c>
      <c r="T560" t="s">
        <v>7674</v>
      </c>
      <c r="U560" t="s">
        <v>74</v>
      </c>
      <c r="V560" t="s">
        <v>7675</v>
      </c>
      <c r="W560" t="s">
        <v>7676</v>
      </c>
      <c r="X560" t="s">
        <v>7677</v>
      </c>
      <c r="Y560" t="s">
        <v>7678</v>
      </c>
      <c r="Z560" t="s">
        <v>74</v>
      </c>
      <c r="AA560" t="s">
        <v>7679</v>
      </c>
      <c r="AB560" t="s">
        <v>7680</v>
      </c>
      <c r="AC560" t="s">
        <v>74</v>
      </c>
      <c r="AD560" t="s">
        <v>74</v>
      </c>
      <c r="AE560" t="s">
        <v>74</v>
      </c>
      <c r="AF560" t="s">
        <v>74</v>
      </c>
      <c r="AG560">
        <v>43</v>
      </c>
      <c r="AH560">
        <v>50</v>
      </c>
      <c r="AI560">
        <v>54</v>
      </c>
      <c r="AJ560">
        <v>0</v>
      </c>
      <c r="AK560">
        <v>18</v>
      </c>
      <c r="AL560" t="s">
        <v>1120</v>
      </c>
      <c r="AM560" t="s">
        <v>1121</v>
      </c>
      <c r="AN560" t="s">
        <v>2394</v>
      </c>
      <c r="AO560" t="s">
        <v>7681</v>
      </c>
      <c r="AP560" t="s">
        <v>74</v>
      </c>
      <c r="AQ560" t="s">
        <v>74</v>
      </c>
      <c r="AR560" t="s">
        <v>7673</v>
      </c>
      <c r="AS560" t="s">
        <v>7682</v>
      </c>
      <c r="AT560" t="s">
        <v>7461</v>
      </c>
      <c r="AU560">
        <v>2000</v>
      </c>
      <c r="AV560">
        <v>35</v>
      </c>
      <c r="AW560" t="s">
        <v>870</v>
      </c>
      <c r="AX560" t="s">
        <v>74</v>
      </c>
      <c r="AY560" t="s">
        <v>74</v>
      </c>
      <c r="AZ560" t="s">
        <v>74</v>
      </c>
      <c r="BA560" t="s">
        <v>74</v>
      </c>
      <c r="BB560">
        <v>145</v>
      </c>
      <c r="BC560">
        <v>162</v>
      </c>
      <c r="BD560" t="s">
        <v>74</v>
      </c>
      <c r="BE560" t="s">
        <v>7683</v>
      </c>
      <c r="BF560" t="str">
        <f>HYPERLINK("http://dx.doi.org/10.1016/S0169-555X(00)00034-9","http://dx.doi.org/10.1016/S0169-555X(00)00034-9")</f>
        <v>http://dx.doi.org/10.1016/S0169-555X(00)00034-9</v>
      </c>
      <c r="BG560" t="s">
        <v>74</v>
      </c>
      <c r="BH560" t="s">
        <v>74</v>
      </c>
      <c r="BI560">
        <v>18</v>
      </c>
      <c r="BJ560" t="s">
        <v>1214</v>
      </c>
      <c r="BK560" t="s">
        <v>94</v>
      </c>
      <c r="BL560" t="s">
        <v>1215</v>
      </c>
      <c r="BM560" t="s">
        <v>7684</v>
      </c>
      <c r="BN560" t="s">
        <v>74</v>
      </c>
      <c r="BO560" t="s">
        <v>74</v>
      </c>
      <c r="BP560" t="s">
        <v>74</v>
      </c>
      <c r="BQ560" t="s">
        <v>74</v>
      </c>
      <c r="BR560" t="s">
        <v>97</v>
      </c>
      <c r="BS560" t="s">
        <v>7685</v>
      </c>
      <c r="BT560" t="str">
        <f>HYPERLINK("https%3A%2F%2Fwww.webofscience.com%2Fwos%2Fwoscc%2Ffull-record%2FWOS:000089962300010","View Full Record in Web of Science")</f>
        <v>View Full Record in Web of Science</v>
      </c>
    </row>
    <row r="561" spans="1:72" x14ac:dyDescent="0.15">
      <c r="A561" t="s">
        <v>72</v>
      </c>
      <c r="B561" t="s">
        <v>7686</v>
      </c>
      <c r="C561" t="s">
        <v>74</v>
      </c>
      <c r="D561" t="s">
        <v>74</v>
      </c>
      <c r="E561" t="s">
        <v>74</v>
      </c>
      <c r="F561" t="s">
        <v>7686</v>
      </c>
      <c r="G561" t="s">
        <v>74</v>
      </c>
      <c r="H561" t="s">
        <v>74</v>
      </c>
      <c r="I561" t="s">
        <v>7687</v>
      </c>
      <c r="J561" t="s">
        <v>1053</v>
      </c>
      <c r="K561" t="s">
        <v>74</v>
      </c>
      <c r="L561" t="s">
        <v>74</v>
      </c>
      <c r="M561" t="s">
        <v>77</v>
      </c>
      <c r="N561" t="s">
        <v>78</v>
      </c>
      <c r="O561" t="s">
        <v>74</v>
      </c>
      <c r="P561" t="s">
        <v>74</v>
      </c>
      <c r="Q561" t="s">
        <v>74</v>
      </c>
      <c r="R561" t="s">
        <v>74</v>
      </c>
      <c r="S561" t="s">
        <v>74</v>
      </c>
      <c r="T561" t="s">
        <v>74</v>
      </c>
      <c r="U561" t="s">
        <v>7688</v>
      </c>
      <c r="V561" t="s">
        <v>7689</v>
      </c>
      <c r="W561" t="s">
        <v>885</v>
      </c>
      <c r="X561" t="s">
        <v>221</v>
      </c>
      <c r="Y561" t="s">
        <v>7690</v>
      </c>
      <c r="Z561" t="s">
        <v>74</v>
      </c>
      <c r="AA561" t="s">
        <v>74</v>
      </c>
      <c r="AB561" t="s">
        <v>74</v>
      </c>
      <c r="AC561" t="s">
        <v>74</v>
      </c>
      <c r="AD561" t="s">
        <v>74</v>
      </c>
      <c r="AE561" t="s">
        <v>74</v>
      </c>
      <c r="AF561" t="s">
        <v>74</v>
      </c>
      <c r="AG561">
        <v>15</v>
      </c>
      <c r="AH561">
        <v>62</v>
      </c>
      <c r="AI561">
        <v>67</v>
      </c>
      <c r="AJ561">
        <v>0</v>
      </c>
      <c r="AK561">
        <v>1</v>
      </c>
      <c r="AL561" t="s">
        <v>1059</v>
      </c>
      <c r="AM561" t="s">
        <v>1060</v>
      </c>
      <c r="AN561" t="s">
        <v>1061</v>
      </c>
      <c r="AO561" t="s">
        <v>1062</v>
      </c>
      <c r="AP561" t="s">
        <v>74</v>
      </c>
      <c r="AQ561" t="s">
        <v>74</v>
      </c>
      <c r="AR561" t="s">
        <v>1063</v>
      </c>
      <c r="AS561" t="s">
        <v>1064</v>
      </c>
      <c r="AT561" t="s">
        <v>7691</v>
      </c>
      <c r="AU561">
        <v>2000</v>
      </c>
      <c r="AV561">
        <v>27</v>
      </c>
      <c r="AW561">
        <v>19</v>
      </c>
      <c r="AX561" t="s">
        <v>74</v>
      </c>
      <c r="AY561" t="s">
        <v>74</v>
      </c>
      <c r="AZ561" t="s">
        <v>74</v>
      </c>
      <c r="BA561" t="s">
        <v>74</v>
      </c>
      <c r="BB561">
        <v>3057</v>
      </c>
      <c r="BC561">
        <v>3060</v>
      </c>
      <c r="BD561" t="s">
        <v>74</v>
      </c>
      <c r="BE561" t="s">
        <v>7692</v>
      </c>
      <c r="BF561" t="str">
        <f>HYPERLINK("http://dx.doi.org/10.1029/2000GL011363","http://dx.doi.org/10.1029/2000GL011363")</f>
        <v>http://dx.doi.org/10.1029/2000GL011363</v>
      </c>
      <c r="BG561" t="s">
        <v>74</v>
      </c>
      <c r="BH561" t="s">
        <v>74</v>
      </c>
      <c r="BI561">
        <v>4</v>
      </c>
      <c r="BJ561" t="s">
        <v>595</v>
      </c>
      <c r="BK561" t="s">
        <v>94</v>
      </c>
      <c r="BL561" t="s">
        <v>597</v>
      </c>
      <c r="BM561" t="s">
        <v>7693</v>
      </c>
      <c r="BN561" t="s">
        <v>74</v>
      </c>
      <c r="BO561" t="s">
        <v>1755</v>
      </c>
      <c r="BP561" t="s">
        <v>74</v>
      </c>
      <c r="BQ561" t="s">
        <v>74</v>
      </c>
      <c r="BR561" t="s">
        <v>97</v>
      </c>
      <c r="BS561" t="s">
        <v>7694</v>
      </c>
      <c r="BT561" t="str">
        <f>HYPERLINK("https%3A%2F%2Fwww.webofscience.com%2Fwos%2Fwoscc%2Ffull-record%2FWOS:000089711900008","View Full Record in Web of Science")</f>
        <v>View Full Record in Web of Science</v>
      </c>
    </row>
    <row r="562" spans="1:72" x14ac:dyDescent="0.15">
      <c r="A562" t="s">
        <v>72</v>
      </c>
      <c r="B562" t="s">
        <v>7695</v>
      </c>
      <c r="C562" t="s">
        <v>74</v>
      </c>
      <c r="D562" t="s">
        <v>74</v>
      </c>
      <c r="E562" t="s">
        <v>74</v>
      </c>
      <c r="F562" t="s">
        <v>7695</v>
      </c>
      <c r="G562" t="s">
        <v>74</v>
      </c>
      <c r="H562" t="s">
        <v>74</v>
      </c>
      <c r="I562" t="s">
        <v>7696</v>
      </c>
      <c r="J562" t="s">
        <v>1053</v>
      </c>
      <c r="K562" t="s">
        <v>74</v>
      </c>
      <c r="L562" t="s">
        <v>74</v>
      </c>
      <c r="M562" t="s">
        <v>77</v>
      </c>
      <c r="N562" t="s">
        <v>78</v>
      </c>
      <c r="O562" t="s">
        <v>74</v>
      </c>
      <c r="P562" t="s">
        <v>74</v>
      </c>
      <c r="Q562" t="s">
        <v>74</v>
      </c>
      <c r="R562" t="s">
        <v>74</v>
      </c>
      <c r="S562" t="s">
        <v>74</v>
      </c>
      <c r="T562" t="s">
        <v>74</v>
      </c>
      <c r="U562" t="s">
        <v>7697</v>
      </c>
      <c r="V562" t="s">
        <v>7698</v>
      </c>
      <c r="W562" t="s">
        <v>7699</v>
      </c>
      <c r="X562" t="s">
        <v>7700</v>
      </c>
      <c r="Y562" t="s">
        <v>7701</v>
      </c>
      <c r="Z562" t="s">
        <v>74</v>
      </c>
      <c r="AA562" t="s">
        <v>7702</v>
      </c>
      <c r="AB562" t="s">
        <v>7703</v>
      </c>
      <c r="AC562" t="s">
        <v>74</v>
      </c>
      <c r="AD562" t="s">
        <v>74</v>
      </c>
      <c r="AE562" t="s">
        <v>74</v>
      </c>
      <c r="AF562" t="s">
        <v>74</v>
      </c>
      <c r="AG562">
        <v>10</v>
      </c>
      <c r="AH562">
        <v>39</v>
      </c>
      <c r="AI562">
        <v>44</v>
      </c>
      <c r="AJ562">
        <v>0</v>
      </c>
      <c r="AK562">
        <v>2</v>
      </c>
      <c r="AL562" t="s">
        <v>1059</v>
      </c>
      <c r="AM562" t="s">
        <v>1060</v>
      </c>
      <c r="AN562" t="s">
        <v>1061</v>
      </c>
      <c r="AO562" t="s">
        <v>1062</v>
      </c>
      <c r="AP562" t="s">
        <v>74</v>
      </c>
      <c r="AQ562" t="s">
        <v>74</v>
      </c>
      <c r="AR562" t="s">
        <v>1063</v>
      </c>
      <c r="AS562" t="s">
        <v>1064</v>
      </c>
      <c r="AT562" t="s">
        <v>7691</v>
      </c>
      <c r="AU562">
        <v>2000</v>
      </c>
      <c r="AV562">
        <v>27</v>
      </c>
      <c r="AW562">
        <v>19</v>
      </c>
      <c r="AX562" t="s">
        <v>74</v>
      </c>
      <c r="AY562" t="s">
        <v>74</v>
      </c>
      <c r="AZ562" t="s">
        <v>74</v>
      </c>
      <c r="BA562" t="s">
        <v>74</v>
      </c>
      <c r="BB562">
        <v>3165</v>
      </c>
      <c r="BC562">
        <v>3168</v>
      </c>
      <c r="BD562" t="s">
        <v>74</v>
      </c>
      <c r="BE562" t="s">
        <v>7704</v>
      </c>
      <c r="BF562" t="str">
        <f>HYPERLINK("http://dx.doi.org/10.1029/2000GL011882","http://dx.doi.org/10.1029/2000GL011882")</f>
        <v>http://dx.doi.org/10.1029/2000GL011882</v>
      </c>
      <c r="BG562" t="s">
        <v>74</v>
      </c>
      <c r="BH562" t="s">
        <v>74</v>
      </c>
      <c r="BI562">
        <v>4</v>
      </c>
      <c r="BJ562" t="s">
        <v>595</v>
      </c>
      <c r="BK562" t="s">
        <v>94</v>
      </c>
      <c r="BL562" t="s">
        <v>597</v>
      </c>
      <c r="BM562" t="s">
        <v>7693</v>
      </c>
      <c r="BN562" t="s">
        <v>74</v>
      </c>
      <c r="BO562" t="s">
        <v>2428</v>
      </c>
      <c r="BP562" t="s">
        <v>74</v>
      </c>
      <c r="BQ562" t="s">
        <v>74</v>
      </c>
      <c r="BR562" t="s">
        <v>97</v>
      </c>
      <c r="BS562" t="s">
        <v>7705</v>
      </c>
      <c r="BT562" t="str">
        <f>HYPERLINK("https%3A%2F%2Fwww.webofscience.com%2Fwos%2Fwoscc%2Ffull-record%2FWOS:000089711900035","View Full Record in Web of Science")</f>
        <v>View Full Record in Web of Science</v>
      </c>
    </row>
    <row r="563" spans="1:72" x14ac:dyDescent="0.15">
      <c r="A563" t="s">
        <v>72</v>
      </c>
      <c r="B563" t="s">
        <v>7706</v>
      </c>
      <c r="C563" t="s">
        <v>74</v>
      </c>
      <c r="D563" t="s">
        <v>74</v>
      </c>
      <c r="E563" t="s">
        <v>74</v>
      </c>
      <c r="F563" t="s">
        <v>7706</v>
      </c>
      <c r="G563" t="s">
        <v>74</v>
      </c>
      <c r="H563" t="s">
        <v>74</v>
      </c>
      <c r="I563" t="s">
        <v>7707</v>
      </c>
      <c r="J563" t="s">
        <v>1377</v>
      </c>
      <c r="K563" t="s">
        <v>74</v>
      </c>
      <c r="L563" t="s">
        <v>74</v>
      </c>
      <c r="M563" t="s">
        <v>77</v>
      </c>
      <c r="N563" t="s">
        <v>78</v>
      </c>
      <c r="O563" t="s">
        <v>74</v>
      </c>
      <c r="P563" t="s">
        <v>74</v>
      </c>
      <c r="Q563" t="s">
        <v>74</v>
      </c>
      <c r="R563" t="s">
        <v>74</v>
      </c>
      <c r="S563" t="s">
        <v>74</v>
      </c>
      <c r="T563" t="s">
        <v>74</v>
      </c>
      <c r="U563" t="s">
        <v>7708</v>
      </c>
      <c r="V563" t="s">
        <v>7709</v>
      </c>
      <c r="W563" t="s">
        <v>885</v>
      </c>
      <c r="X563" t="s">
        <v>221</v>
      </c>
      <c r="Y563" t="s">
        <v>7710</v>
      </c>
      <c r="Z563" t="s">
        <v>7711</v>
      </c>
      <c r="AA563" t="s">
        <v>74</v>
      </c>
      <c r="AB563" t="s">
        <v>74</v>
      </c>
      <c r="AC563" t="s">
        <v>74</v>
      </c>
      <c r="AD563" t="s">
        <v>74</v>
      </c>
      <c r="AE563" t="s">
        <v>74</v>
      </c>
      <c r="AF563" t="s">
        <v>74</v>
      </c>
      <c r="AG563">
        <v>31</v>
      </c>
      <c r="AH563">
        <v>45</v>
      </c>
      <c r="AI563">
        <v>54</v>
      </c>
      <c r="AJ563">
        <v>0</v>
      </c>
      <c r="AK563">
        <v>17</v>
      </c>
      <c r="AL563" t="s">
        <v>813</v>
      </c>
      <c r="AM563" t="s">
        <v>814</v>
      </c>
      <c r="AN563" t="s">
        <v>815</v>
      </c>
      <c r="AO563" t="s">
        <v>1386</v>
      </c>
      <c r="AP563" t="s">
        <v>7712</v>
      </c>
      <c r="AQ563" t="s">
        <v>74</v>
      </c>
      <c r="AR563" t="s">
        <v>1377</v>
      </c>
      <c r="AS563" t="s">
        <v>1387</v>
      </c>
      <c r="AT563" t="s">
        <v>7461</v>
      </c>
      <c r="AU563">
        <v>2000</v>
      </c>
      <c r="AV563">
        <v>142</v>
      </c>
      <c r="AW563">
        <v>4</v>
      </c>
      <c r="AX563" t="s">
        <v>74</v>
      </c>
      <c r="AY563" t="s">
        <v>74</v>
      </c>
      <c r="AZ563" t="s">
        <v>74</v>
      </c>
      <c r="BA563" t="s">
        <v>74</v>
      </c>
      <c r="BB563">
        <v>550</v>
      </c>
      <c r="BC563">
        <v>565</v>
      </c>
      <c r="BD563" t="s">
        <v>74</v>
      </c>
      <c r="BE563" t="s">
        <v>7713</v>
      </c>
      <c r="BF563" t="str">
        <f>HYPERLINK("http://dx.doi.org/10.1111/j.1474-919X.2000.tb04456.x","http://dx.doi.org/10.1111/j.1474-919X.2000.tb04456.x")</f>
        <v>http://dx.doi.org/10.1111/j.1474-919X.2000.tb04456.x</v>
      </c>
      <c r="BG563" t="s">
        <v>74</v>
      </c>
      <c r="BH563" t="s">
        <v>74</v>
      </c>
      <c r="BI563">
        <v>16</v>
      </c>
      <c r="BJ563" t="s">
        <v>675</v>
      </c>
      <c r="BK563" t="s">
        <v>94</v>
      </c>
      <c r="BL563" t="s">
        <v>206</v>
      </c>
      <c r="BM563" t="s">
        <v>7714</v>
      </c>
      <c r="BN563" t="s">
        <v>74</v>
      </c>
      <c r="BO563" t="s">
        <v>1755</v>
      </c>
      <c r="BP563" t="s">
        <v>74</v>
      </c>
      <c r="BQ563" t="s">
        <v>74</v>
      </c>
      <c r="BR563" t="s">
        <v>97</v>
      </c>
      <c r="BS563" t="s">
        <v>7715</v>
      </c>
      <c r="BT563" t="str">
        <f>HYPERLINK("https%3A%2F%2Fwww.webofscience.com%2Fwos%2Fwoscc%2Ffull-record%2FWOS:000089667700002","View Full Record in Web of Science")</f>
        <v>View Full Record in Web of Science</v>
      </c>
    </row>
    <row r="564" spans="1:72" x14ac:dyDescent="0.15">
      <c r="A564" t="s">
        <v>72</v>
      </c>
      <c r="B564" t="s">
        <v>7716</v>
      </c>
      <c r="C564" t="s">
        <v>74</v>
      </c>
      <c r="D564" t="s">
        <v>74</v>
      </c>
      <c r="E564" t="s">
        <v>74</v>
      </c>
      <c r="F564" t="s">
        <v>7716</v>
      </c>
      <c r="G564" t="s">
        <v>74</v>
      </c>
      <c r="H564" t="s">
        <v>74</v>
      </c>
      <c r="I564" t="s">
        <v>7717</v>
      </c>
      <c r="J564" t="s">
        <v>1377</v>
      </c>
      <c r="K564" t="s">
        <v>74</v>
      </c>
      <c r="L564" t="s">
        <v>74</v>
      </c>
      <c r="M564" t="s">
        <v>77</v>
      </c>
      <c r="N564" t="s">
        <v>78</v>
      </c>
      <c r="O564" t="s">
        <v>74</v>
      </c>
      <c r="P564" t="s">
        <v>74</v>
      </c>
      <c r="Q564" t="s">
        <v>74</v>
      </c>
      <c r="R564" t="s">
        <v>74</v>
      </c>
      <c r="S564" t="s">
        <v>74</v>
      </c>
      <c r="T564" t="s">
        <v>74</v>
      </c>
      <c r="U564" t="s">
        <v>7718</v>
      </c>
      <c r="V564" t="s">
        <v>7719</v>
      </c>
      <c r="W564" t="s">
        <v>7720</v>
      </c>
      <c r="X564" t="s">
        <v>74</v>
      </c>
      <c r="Y564" t="s">
        <v>7721</v>
      </c>
      <c r="Z564" t="s">
        <v>7722</v>
      </c>
      <c r="AA564" t="s">
        <v>74</v>
      </c>
      <c r="AB564" t="s">
        <v>7723</v>
      </c>
      <c r="AC564" t="s">
        <v>74</v>
      </c>
      <c r="AD564" t="s">
        <v>74</v>
      </c>
      <c r="AE564" t="s">
        <v>74</v>
      </c>
      <c r="AF564" t="s">
        <v>74</v>
      </c>
      <c r="AG564">
        <v>29</v>
      </c>
      <c r="AH564">
        <v>63</v>
      </c>
      <c r="AI564">
        <v>69</v>
      </c>
      <c r="AJ564">
        <v>0</v>
      </c>
      <c r="AK564">
        <v>16</v>
      </c>
      <c r="AL564" t="s">
        <v>813</v>
      </c>
      <c r="AM564" t="s">
        <v>814</v>
      </c>
      <c r="AN564" t="s">
        <v>815</v>
      </c>
      <c r="AO564" t="s">
        <v>1386</v>
      </c>
      <c r="AP564" t="s">
        <v>7712</v>
      </c>
      <c r="AQ564" t="s">
        <v>74</v>
      </c>
      <c r="AR564" t="s">
        <v>1377</v>
      </c>
      <c r="AS564" t="s">
        <v>1387</v>
      </c>
      <c r="AT564" t="s">
        <v>7461</v>
      </c>
      <c r="AU564">
        <v>2000</v>
      </c>
      <c r="AV564">
        <v>142</v>
      </c>
      <c r="AW564">
        <v>4</v>
      </c>
      <c r="AX564" t="s">
        <v>74</v>
      </c>
      <c r="AY564" t="s">
        <v>74</v>
      </c>
      <c r="AZ564" t="s">
        <v>74</v>
      </c>
      <c r="BA564" t="s">
        <v>74</v>
      </c>
      <c r="BB564">
        <v>614</v>
      </c>
      <c r="BC564">
        <v>622</v>
      </c>
      <c r="BD564" t="s">
        <v>74</v>
      </c>
      <c r="BE564" t="s">
        <v>7724</v>
      </c>
      <c r="BF564" t="str">
        <f>HYPERLINK("http://dx.doi.org/10.1111/j.1474-919X.2000.tb04461.x","http://dx.doi.org/10.1111/j.1474-919X.2000.tb04461.x")</f>
        <v>http://dx.doi.org/10.1111/j.1474-919X.2000.tb04461.x</v>
      </c>
      <c r="BG564" t="s">
        <v>74</v>
      </c>
      <c r="BH564" t="s">
        <v>74</v>
      </c>
      <c r="BI564">
        <v>9</v>
      </c>
      <c r="BJ564" t="s">
        <v>675</v>
      </c>
      <c r="BK564" t="s">
        <v>94</v>
      </c>
      <c r="BL564" t="s">
        <v>206</v>
      </c>
      <c r="BM564" t="s">
        <v>7714</v>
      </c>
      <c r="BN564" t="s">
        <v>74</v>
      </c>
      <c r="BO564" t="s">
        <v>74</v>
      </c>
      <c r="BP564" t="s">
        <v>74</v>
      </c>
      <c r="BQ564" t="s">
        <v>74</v>
      </c>
      <c r="BR564" t="s">
        <v>97</v>
      </c>
      <c r="BS564" t="s">
        <v>7725</v>
      </c>
      <c r="BT564" t="str">
        <f>HYPERLINK("https%3A%2F%2Fwww.webofscience.com%2Fwos%2Fwoscc%2Ffull-record%2FWOS:000089667700007","View Full Record in Web of Science")</f>
        <v>View Full Record in Web of Science</v>
      </c>
    </row>
    <row r="565" spans="1:72" x14ac:dyDescent="0.15">
      <c r="A565" t="s">
        <v>72</v>
      </c>
      <c r="B565" t="s">
        <v>7726</v>
      </c>
      <c r="C565" t="s">
        <v>74</v>
      </c>
      <c r="D565" t="s">
        <v>74</v>
      </c>
      <c r="E565" t="s">
        <v>74</v>
      </c>
      <c r="F565" t="s">
        <v>7726</v>
      </c>
      <c r="G565" t="s">
        <v>74</v>
      </c>
      <c r="H565" t="s">
        <v>74</v>
      </c>
      <c r="I565" t="s">
        <v>7727</v>
      </c>
      <c r="J565" t="s">
        <v>7728</v>
      </c>
      <c r="K565" t="s">
        <v>74</v>
      </c>
      <c r="L565" t="s">
        <v>74</v>
      </c>
      <c r="M565" t="s">
        <v>77</v>
      </c>
      <c r="N565" t="s">
        <v>576</v>
      </c>
      <c r="O565" t="s">
        <v>7729</v>
      </c>
      <c r="P565" t="s">
        <v>7730</v>
      </c>
      <c r="Q565" t="s">
        <v>7731</v>
      </c>
      <c r="R565" t="s">
        <v>74</v>
      </c>
      <c r="S565" t="s">
        <v>74</v>
      </c>
      <c r="T565" t="s">
        <v>7732</v>
      </c>
      <c r="U565" t="s">
        <v>7733</v>
      </c>
      <c r="V565" t="s">
        <v>7734</v>
      </c>
      <c r="W565" t="s">
        <v>7735</v>
      </c>
      <c r="X565" t="s">
        <v>7736</v>
      </c>
      <c r="Y565" t="s">
        <v>7737</v>
      </c>
      <c r="Z565" t="s">
        <v>74</v>
      </c>
      <c r="AA565" t="s">
        <v>74</v>
      </c>
      <c r="AB565" t="s">
        <v>74</v>
      </c>
      <c r="AC565" t="s">
        <v>74</v>
      </c>
      <c r="AD565" t="s">
        <v>74</v>
      </c>
      <c r="AE565" t="s">
        <v>74</v>
      </c>
      <c r="AF565" t="s">
        <v>74</v>
      </c>
      <c r="AG565">
        <v>14</v>
      </c>
      <c r="AH565">
        <v>4</v>
      </c>
      <c r="AI565">
        <v>7</v>
      </c>
      <c r="AJ565">
        <v>0</v>
      </c>
      <c r="AK565">
        <v>5</v>
      </c>
      <c r="AL565" t="s">
        <v>737</v>
      </c>
      <c r="AM565" t="s">
        <v>738</v>
      </c>
      <c r="AN565" t="s">
        <v>739</v>
      </c>
      <c r="AO565" t="s">
        <v>7738</v>
      </c>
      <c r="AP565" t="s">
        <v>74</v>
      </c>
      <c r="AQ565" t="s">
        <v>74</v>
      </c>
      <c r="AR565" t="s">
        <v>7739</v>
      </c>
      <c r="AS565" t="s">
        <v>7740</v>
      </c>
      <c r="AT565" t="s">
        <v>7461</v>
      </c>
      <c r="AU565">
        <v>2000</v>
      </c>
      <c r="AV565">
        <v>12</v>
      </c>
      <c r="AW565" t="s">
        <v>7741</v>
      </c>
      <c r="AX565" t="s">
        <v>74</v>
      </c>
      <c r="AY565" t="s">
        <v>74</v>
      </c>
      <c r="AZ565" t="s">
        <v>74</v>
      </c>
      <c r="BA565" t="s">
        <v>74</v>
      </c>
      <c r="BB565">
        <v>549</v>
      </c>
      <c r="BC565">
        <v>552</v>
      </c>
      <c r="BD565" t="s">
        <v>74</v>
      </c>
      <c r="BE565" t="s">
        <v>7742</v>
      </c>
      <c r="BF565" t="str">
        <f>HYPERLINK("http://dx.doi.org/10.1023/A:1008113932640","http://dx.doi.org/10.1023/A:1008113932640")</f>
        <v>http://dx.doi.org/10.1023/A:1008113932640</v>
      </c>
      <c r="BG565" t="s">
        <v>74</v>
      </c>
      <c r="BH565" t="s">
        <v>74</v>
      </c>
      <c r="BI565">
        <v>4</v>
      </c>
      <c r="BJ565" t="s">
        <v>7743</v>
      </c>
      <c r="BK565" t="s">
        <v>596</v>
      </c>
      <c r="BL565" t="s">
        <v>7743</v>
      </c>
      <c r="BM565" t="s">
        <v>7744</v>
      </c>
      <c r="BN565" t="s">
        <v>74</v>
      </c>
      <c r="BO565" t="s">
        <v>74</v>
      </c>
      <c r="BP565" t="s">
        <v>74</v>
      </c>
      <c r="BQ565" t="s">
        <v>74</v>
      </c>
      <c r="BR565" t="s">
        <v>97</v>
      </c>
      <c r="BS565" t="s">
        <v>7745</v>
      </c>
      <c r="BT565" t="str">
        <f>HYPERLINK("https%3A%2F%2Fwww.webofscience.com%2Fwos%2Fwoscc%2Ffull-record%2FWOS:000089987100046","View Full Record in Web of Science")</f>
        <v>View Full Record in Web of Science</v>
      </c>
    </row>
    <row r="566" spans="1:72" x14ac:dyDescent="0.15">
      <c r="A566" t="s">
        <v>72</v>
      </c>
      <c r="B566" t="s">
        <v>7746</v>
      </c>
      <c r="C566" t="s">
        <v>74</v>
      </c>
      <c r="D566" t="s">
        <v>74</v>
      </c>
      <c r="E566" t="s">
        <v>74</v>
      </c>
      <c r="F566" t="s">
        <v>7746</v>
      </c>
      <c r="G566" t="s">
        <v>74</v>
      </c>
      <c r="H566" t="s">
        <v>74</v>
      </c>
      <c r="I566" t="s">
        <v>7747</v>
      </c>
      <c r="J566" t="s">
        <v>1911</v>
      </c>
      <c r="K566" t="s">
        <v>74</v>
      </c>
      <c r="L566" t="s">
        <v>74</v>
      </c>
      <c r="M566" t="s">
        <v>77</v>
      </c>
      <c r="N566" t="s">
        <v>78</v>
      </c>
      <c r="O566" t="s">
        <v>74</v>
      </c>
      <c r="P566" t="s">
        <v>74</v>
      </c>
      <c r="Q566" t="s">
        <v>74</v>
      </c>
      <c r="R566" t="s">
        <v>74</v>
      </c>
      <c r="S566" t="s">
        <v>74</v>
      </c>
      <c r="T566" t="s">
        <v>7748</v>
      </c>
      <c r="U566" t="s">
        <v>7749</v>
      </c>
      <c r="V566" t="s">
        <v>7750</v>
      </c>
      <c r="W566" t="s">
        <v>7751</v>
      </c>
      <c r="X566" t="s">
        <v>7752</v>
      </c>
      <c r="Y566" t="s">
        <v>7753</v>
      </c>
      <c r="Z566" t="s">
        <v>74</v>
      </c>
      <c r="AA566" t="s">
        <v>7754</v>
      </c>
      <c r="AB566" t="s">
        <v>7755</v>
      </c>
      <c r="AC566" t="s">
        <v>74</v>
      </c>
      <c r="AD566" t="s">
        <v>74</v>
      </c>
      <c r="AE566" t="s">
        <v>74</v>
      </c>
      <c r="AF566" t="s">
        <v>74</v>
      </c>
      <c r="AG566">
        <v>24</v>
      </c>
      <c r="AH566">
        <v>1</v>
      </c>
      <c r="AI566">
        <v>1</v>
      </c>
      <c r="AJ566">
        <v>0</v>
      </c>
      <c r="AK566">
        <v>1</v>
      </c>
      <c r="AL566" t="s">
        <v>245</v>
      </c>
      <c r="AM566" t="s">
        <v>246</v>
      </c>
      <c r="AN566" t="s">
        <v>247</v>
      </c>
      <c r="AO566" t="s">
        <v>1918</v>
      </c>
      <c r="AP566" t="s">
        <v>74</v>
      </c>
      <c r="AQ566" t="s">
        <v>74</v>
      </c>
      <c r="AR566" t="s">
        <v>1919</v>
      </c>
      <c r="AS566" t="s">
        <v>1920</v>
      </c>
      <c r="AT566" t="s">
        <v>7461</v>
      </c>
      <c r="AU566">
        <v>2000</v>
      </c>
      <c r="AV566">
        <v>62</v>
      </c>
      <c r="AW566">
        <v>15</v>
      </c>
      <c r="AX566" t="s">
        <v>74</v>
      </c>
      <c r="AY566" t="s">
        <v>74</v>
      </c>
      <c r="AZ566" t="s">
        <v>74</v>
      </c>
      <c r="BA566" t="s">
        <v>74</v>
      </c>
      <c r="BB566">
        <v>1385</v>
      </c>
      <c r="BC566">
        <v>1391</v>
      </c>
      <c r="BD566" t="s">
        <v>74</v>
      </c>
      <c r="BE566" t="s">
        <v>7756</v>
      </c>
      <c r="BF566" t="str">
        <f>HYPERLINK("http://dx.doi.org/10.1016/S1364-6826(00)00156-5","http://dx.doi.org/10.1016/S1364-6826(00)00156-5")</f>
        <v>http://dx.doi.org/10.1016/S1364-6826(00)00156-5</v>
      </c>
      <c r="BG566" t="s">
        <v>74</v>
      </c>
      <c r="BH566" t="s">
        <v>74</v>
      </c>
      <c r="BI566">
        <v>7</v>
      </c>
      <c r="BJ566" t="s">
        <v>1085</v>
      </c>
      <c r="BK566" t="s">
        <v>94</v>
      </c>
      <c r="BL566" t="s">
        <v>1085</v>
      </c>
      <c r="BM566" t="s">
        <v>7757</v>
      </c>
      <c r="BN566" t="s">
        <v>74</v>
      </c>
      <c r="BO566" t="s">
        <v>74</v>
      </c>
      <c r="BP566" t="s">
        <v>74</v>
      </c>
      <c r="BQ566" t="s">
        <v>74</v>
      </c>
      <c r="BR566" t="s">
        <v>97</v>
      </c>
      <c r="BS566" t="s">
        <v>7758</v>
      </c>
      <c r="BT566" t="str">
        <f>HYPERLINK("https%3A%2F%2Fwww.webofscience.com%2Fwos%2Fwoscc%2Ffull-record%2FWOS:000165252100006","View Full Record in Web of Science")</f>
        <v>View Full Record in Web of Science</v>
      </c>
    </row>
    <row r="567" spans="1:72" x14ac:dyDescent="0.15">
      <c r="A567" t="s">
        <v>72</v>
      </c>
      <c r="B567" t="s">
        <v>7759</v>
      </c>
      <c r="C567" t="s">
        <v>74</v>
      </c>
      <c r="D567" t="s">
        <v>74</v>
      </c>
      <c r="E567" t="s">
        <v>74</v>
      </c>
      <c r="F567" t="s">
        <v>7759</v>
      </c>
      <c r="G567" t="s">
        <v>74</v>
      </c>
      <c r="H567" t="s">
        <v>74</v>
      </c>
      <c r="I567" t="s">
        <v>7760</v>
      </c>
      <c r="J567" t="s">
        <v>5556</v>
      </c>
      <c r="K567" t="s">
        <v>74</v>
      </c>
      <c r="L567" t="s">
        <v>74</v>
      </c>
      <c r="M567" t="s">
        <v>77</v>
      </c>
      <c r="N567" t="s">
        <v>78</v>
      </c>
      <c r="O567" t="s">
        <v>74</v>
      </c>
      <c r="P567" t="s">
        <v>74</v>
      </c>
      <c r="Q567" t="s">
        <v>74</v>
      </c>
      <c r="R567" t="s">
        <v>74</v>
      </c>
      <c r="S567" t="s">
        <v>74</v>
      </c>
      <c r="T567" t="s">
        <v>7761</v>
      </c>
      <c r="U567" t="s">
        <v>7762</v>
      </c>
      <c r="V567" t="s">
        <v>7763</v>
      </c>
      <c r="W567" t="s">
        <v>833</v>
      </c>
      <c r="X567" t="s">
        <v>221</v>
      </c>
      <c r="Y567" t="s">
        <v>7764</v>
      </c>
      <c r="Z567" t="s">
        <v>74</v>
      </c>
      <c r="AA567" t="s">
        <v>74</v>
      </c>
      <c r="AB567" t="s">
        <v>74</v>
      </c>
      <c r="AC567" t="s">
        <v>74</v>
      </c>
      <c r="AD567" t="s">
        <v>74</v>
      </c>
      <c r="AE567" t="s">
        <v>74</v>
      </c>
      <c r="AF567" t="s">
        <v>74</v>
      </c>
      <c r="AG567">
        <v>69</v>
      </c>
      <c r="AH567">
        <v>24</v>
      </c>
      <c r="AI567">
        <v>26</v>
      </c>
      <c r="AJ567">
        <v>0</v>
      </c>
      <c r="AK567">
        <v>16</v>
      </c>
      <c r="AL567" t="s">
        <v>5568</v>
      </c>
      <c r="AM567" t="s">
        <v>1208</v>
      </c>
      <c r="AN567" t="s">
        <v>1900</v>
      </c>
      <c r="AO567" t="s">
        <v>5569</v>
      </c>
      <c r="AP567" t="s">
        <v>74</v>
      </c>
      <c r="AQ567" t="s">
        <v>74</v>
      </c>
      <c r="AR567" t="s">
        <v>5570</v>
      </c>
      <c r="AS567" t="s">
        <v>5571</v>
      </c>
      <c r="AT567" t="s">
        <v>7461</v>
      </c>
      <c r="AU567">
        <v>2000</v>
      </c>
      <c r="AV567">
        <v>57</v>
      </c>
      <c r="AW567">
        <v>4</v>
      </c>
      <c r="AX567" t="s">
        <v>74</v>
      </c>
      <c r="AY567" t="s">
        <v>74</v>
      </c>
      <c r="AZ567" t="s">
        <v>74</v>
      </c>
      <c r="BA567" t="s">
        <v>74</v>
      </c>
      <c r="BB567">
        <v>908</v>
      </c>
      <c r="BC567">
        <v>929</v>
      </c>
      <c r="BD567" t="s">
        <v>74</v>
      </c>
      <c r="BE567" t="s">
        <v>7765</v>
      </c>
      <c r="BF567" t="str">
        <f>HYPERLINK("http://dx.doi.org/10.1111/j.1095-8649.2000.tb02201.x","http://dx.doi.org/10.1111/j.1095-8649.2000.tb02201.x")</f>
        <v>http://dx.doi.org/10.1111/j.1095-8649.2000.tb02201.x</v>
      </c>
      <c r="BG567" t="s">
        <v>74</v>
      </c>
      <c r="BH567" t="s">
        <v>74</v>
      </c>
      <c r="BI567">
        <v>22</v>
      </c>
      <c r="BJ567" t="s">
        <v>4308</v>
      </c>
      <c r="BK567" t="s">
        <v>94</v>
      </c>
      <c r="BL567" t="s">
        <v>4308</v>
      </c>
      <c r="BM567" t="s">
        <v>7766</v>
      </c>
      <c r="BN567" t="s">
        <v>74</v>
      </c>
      <c r="BO567" t="s">
        <v>74</v>
      </c>
      <c r="BP567" t="s">
        <v>74</v>
      </c>
      <c r="BQ567" t="s">
        <v>74</v>
      </c>
      <c r="BR567" t="s">
        <v>97</v>
      </c>
      <c r="BS567" t="s">
        <v>7767</v>
      </c>
      <c r="BT567" t="str">
        <f>HYPERLINK("https%3A%2F%2Fwww.webofscience.com%2Fwos%2Fwoscc%2Ffull-record%2FWOS:000089877200006","View Full Record in Web of Science")</f>
        <v>View Full Record in Web of Science</v>
      </c>
    </row>
    <row r="568" spans="1:72" x14ac:dyDescent="0.15">
      <c r="A568" t="s">
        <v>72</v>
      </c>
      <c r="B568" t="s">
        <v>7768</v>
      </c>
      <c r="C568" t="s">
        <v>74</v>
      </c>
      <c r="D568" t="s">
        <v>74</v>
      </c>
      <c r="E568" t="s">
        <v>74</v>
      </c>
      <c r="F568" t="s">
        <v>7768</v>
      </c>
      <c r="G568" t="s">
        <v>74</v>
      </c>
      <c r="H568" t="s">
        <v>74</v>
      </c>
      <c r="I568" t="s">
        <v>7769</v>
      </c>
      <c r="J568" t="s">
        <v>2143</v>
      </c>
      <c r="K568" t="s">
        <v>74</v>
      </c>
      <c r="L568" t="s">
        <v>74</v>
      </c>
      <c r="M568" t="s">
        <v>77</v>
      </c>
      <c r="N568" t="s">
        <v>78</v>
      </c>
      <c r="O568" t="s">
        <v>74</v>
      </c>
      <c r="P568" t="s">
        <v>74</v>
      </c>
      <c r="Q568" t="s">
        <v>74</v>
      </c>
      <c r="R568" t="s">
        <v>74</v>
      </c>
      <c r="S568" t="s">
        <v>74</v>
      </c>
      <c r="T568" t="s">
        <v>74</v>
      </c>
      <c r="U568" t="s">
        <v>7770</v>
      </c>
      <c r="V568" t="s">
        <v>7771</v>
      </c>
      <c r="W568" t="s">
        <v>7772</v>
      </c>
      <c r="X568" t="s">
        <v>7773</v>
      </c>
      <c r="Y568" t="s">
        <v>7774</v>
      </c>
      <c r="Z568" t="s">
        <v>7775</v>
      </c>
      <c r="AA568" t="s">
        <v>74</v>
      </c>
      <c r="AB568" t="s">
        <v>74</v>
      </c>
      <c r="AC568" t="s">
        <v>74</v>
      </c>
      <c r="AD568" t="s">
        <v>74</v>
      </c>
      <c r="AE568" t="s">
        <v>74</v>
      </c>
      <c r="AF568" t="s">
        <v>74</v>
      </c>
      <c r="AG568">
        <v>45</v>
      </c>
      <c r="AH568">
        <v>13</v>
      </c>
      <c r="AI568">
        <v>14</v>
      </c>
      <c r="AJ568">
        <v>0</v>
      </c>
      <c r="AK568">
        <v>2</v>
      </c>
      <c r="AL568" t="s">
        <v>1059</v>
      </c>
      <c r="AM568" t="s">
        <v>1060</v>
      </c>
      <c r="AN568" t="s">
        <v>1061</v>
      </c>
      <c r="AO568" t="s">
        <v>2150</v>
      </c>
      <c r="AP568" t="s">
        <v>2151</v>
      </c>
      <c r="AQ568" t="s">
        <v>74</v>
      </c>
      <c r="AR568" t="s">
        <v>2152</v>
      </c>
      <c r="AS568" t="s">
        <v>2153</v>
      </c>
      <c r="AT568" t="s">
        <v>7691</v>
      </c>
      <c r="AU568">
        <v>2000</v>
      </c>
      <c r="AV568">
        <v>105</v>
      </c>
      <c r="AW568" t="s">
        <v>7776</v>
      </c>
      <c r="AX568" t="s">
        <v>74</v>
      </c>
      <c r="AY568" t="s">
        <v>74</v>
      </c>
      <c r="AZ568" t="s">
        <v>74</v>
      </c>
      <c r="BA568" t="s">
        <v>74</v>
      </c>
      <c r="BB568">
        <v>22955</v>
      </c>
      <c r="BC568">
        <v>22977</v>
      </c>
      <c r="BD568" t="s">
        <v>74</v>
      </c>
      <c r="BE568" t="s">
        <v>7777</v>
      </c>
      <c r="BF568" t="str">
        <f>HYPERLINK("http://dx.doi.org/10.1029/1999JA000433","http://dx.doi.org/10.1029/1999JA000433")</f>
        <v>http://dx.doi.org/10.1029/1999JA000433</v>
      </c>
      <c r="BG568" t="s">
        <v>74</v>
      </c>
      <c r="BH568" t="s">
        <v>74</v>
      </c>
      <c r="BI568">
        <v>23</v>
      </c>
      <c r="BJ568" t="s">
        <v>909</v>
      </c>
      <c r="BK568" t="s">
        <v>94</v>
      </c>
      <c r="BL568" t="s">
        <v>909</v>
      </c>
      <c r="BM568" t="s">
        <v>7778</v>
      </c>
      <c r="BN568" t="s">
        <v>74</v>
      </c>
      <c r="BO568" t="s">
        <v>2451</v>
      </c>
      <c r="BP568" t="s">
        <v>74</v>
      </c>
      <c r="BQ568" t="s">
        <v>74</v>
      </c>
      <c r="BR568" t="s">
        <v>97</v>
      </c>
      <c r="BS568" t="s">
        <v>7779</v>
      </c>
      <c r="BT568" t="str">
        <f>HYPERLINK("https%3A%2F%2Fwww.webofscience.com%2Fwos%2Fwoscc%2Ffull-record%2FWOS:000089630600002","View Full Record in Web of Science")</f>
        <v>View Full Record in Web of Science</v>
      </c>
    </row>
    <row r="569" spans="1:72" x14ac:dyDescent="0.15">
      <c r="A569" t="s">
        <v>72</v>
      </c>
      <c r="B569" t="s">
        <v>7780</v>
      </c>
      <c r="C569" t="s">
        <v>74</v>
      </c>
      <c r="D569" t="s">
        <v>74</v>
      </c>
      <c r="E569" t="s">
        <v>74</v>
      </c>
      <c r="F569" t="s">
        <v>7780</v>
      </c>
      <c r="G569" t="s">
        <v>74</v>
      </c>
      <c r="H569" t="s">
        <v>74</v>
      </c>
      <c r="I569" t="s">
        <v>7781</v>
      </c>
      <c r="J569" t="s">
        <v>7782</v>
      </c>
      <c r="K569" t="s">
        <v>74</v>
      </c>
      <c r="L569" t="s">
        <v>74</v>
      </c>
      <c r="M569" t="s">
        <v>77</v>
      </c>
      <c r="N569" t="s">
        <v>78</v>
      </c>
      <c r="O569" t="s">
        <v>74</v>
      </c>
      <c r="P569" t="s">
        <v>74</v>
      </c>
      <c r="Q569" t="s">
        <v>74</v>
      </c>
      <c r="R569" t="s">
        <v>74</v>
      </c>
      <c r="S569" t="s">
        <v>74</v>
      </c>
      <c r="T569" t="s">
        <v>7783</v>
      </c>
      <c r="U569" t="s">
        <v>7784</v>
      </c>
      <c r="V569" t="s">
        <v>7785</v>
      </c>
      <c r="W569" t="s">
        <v>7786</v>
      </c>
      <c r="X569" t="s">
        <v>7787</v>
      </c>
      <c r="Y569" t="s">
        <v>7788</v>
      </c>
      <c r="Z569" t="s">
        <v>7789</v>
      </c>
      <c r="AA569" t="s">
        <v>74</v>
      </c>
      <c r="AB569" t="s">
        <v>7790</v>
      </c>
      <c r="AC569" t="s">
        <v>74</v>
      </c>
      <c r="AD569" t="s">
        <v>74</v>
      </c>
      <c r="AE569" t="s">
        <v>74</v>
      </c>
      <c r="AF569" t="s">
        <v>74</v>
      </c>
      <c r="AG569">
        <v>42</v>
      </c>
      <c r="AH569">
        <v>86</v>
      </c>
      <c r="AI569">
        <v>96</v>
      </c>
      <c r="AJ569">
        <v>1</v>
      </c>
      <c r="AK569">
        <v>37</v>
      </c>
      <c r="AL569" t="s">
        <v>813</v>
      </c>
      <c r="AM569" t="s">
        <v>814</v>
      </c>
      <c r="AN569" t="s">
        <v>815</v>
      </c>
      <c r="AO569" t="s">
        <v>7791</v>
      </c>
      <c r="AP569" t="s">
        <v>7792</v>
      </c>
      <c r="AQ569" t="s">
        <v>74</v>
      </c>
      <c r="AR569" t="s">
        <v>7793</v>
      </c>
      <c r="AS569" t="s">
        <v>7794</v>
      </c>
      <c r="AT569" t="s">
        <v>7461</v>
      </c>
      <c r="AU569">
        <v>2000</v>
      </c>
      <c r="AV569">
        <v>36</v>
      </c>
      <c r="AW569">
        <v>5</v>
      </c>
      <c r="AX569" t="s">
        <v>74</v>
      </c>
      <c r="AY569" t="s">
        <v>74</v>
      </c>
      <c r="AZ569" t="s">
        <v>74</v>
      </c>
      <c r="BA569" t="s">
        <v>74</v>
      </c>
      <c r="BB569">
        <v>852</v>
      </c>
      <c r="BC569">
        <v>861</v>
      </c>
      <c r="BD569" t="s">
        <v>74</v>
      </c>
      <c r="BE569" t="s">
        <v>7795</v>
      </c>
      <c r="BF569" t="str">
        <f>HYPERLINK("http://dx.doi.org/10.1046/j.1529-8817.2000.00031.x","http://dx.doi.org/10.1046/j.1529-8817.2000.00031.x")</f>
        <v>http://dx.doi.org/10.1046/j.1529-8817.2000.00031.x</v>
      </c>
      <c r="BG569" t="s">
        <v>74</v>
      </c>
      <c r="BH569" t="s">
        <v>74</v>
      </c>
      <c r="BI569">
        <v>10</v>
      </c>
      <c r="BJ569" t="s">
        <v>190</v>
      </c>
      <c r="BK569" t="s">
        <v>94</v>
      </c>
      <c r="BL569" t="s">
        <v>190</v>
      </c>
      <c r="BM569" t="s">
        <v>7796</v>
      </c>
      <c r="BN569" t="s">
        <v>74</v>
      </c>
      <c r="BO569" t="s">
        <v>74</v>
      </c>
      <c r="BP569" t="s">
        <v>74</v>
      </c>
      <c r="BQ569" t="s">
        <v>74</v>
      </c>
      <c r="BR569" t="s">
        <v>97</v>
      </c>
      <c r="BS569" t="s">
        <v>7797</v>
      </c>
      <c r="BT569" t="str">
        <f>HYPERLINK("https%3A%2F%2Fwww.webofscience.com%2Fwos%2Fwoscc%2Ffull-record%2FWOS:000165409200009","View Full Record in Web of Science")</f>
        <v>View Full Record in Web of Science</v>
      </c>
    </row>
    <row r="570" spans="1:72" x14ac:dyDescent="0.15">
      <c r="A570" t="s">
        <v>72</v>
      </c>
      <c r="B570" t="s">
        <v>7798</v>
      </c>
      <c r="C570" t="s">
        <v>74</v>
      </c>
      <c r="D570" t="s">
        <v>74</v>
      </c>
      <c r="E570" t="s">
        <v>74</v>
      </c>
      <c r="F570" t="s">
        <v>7798</v>
      </c>
      <c r="G570" t="s">
        <v>74</v>
      </c>
      <c r="H570" t="s">
        <v>74</v>
      </c>
      <c r="I570" t="s">
        <v>7799</v>
      </c>
      <c r="J570" t="s">
        <v>7782</v>
      </c>
      <c r="K570" t="s">
        <v>74</v>
      </c>
      <c r="L570" t="s">
        <v>74</v>
      </c>
      <c r="M570" t="s">
        <v>77</v>
      </c>
      <c r="N570" t="s">
        <v>78</v>
      </c>
      <c r="O570" t="s">
        <v>74</v>
      </c>
      <c r="P570" t="s">
        <v>74</v>
      </c>
      <c r="Q570" t="s">
        <v>74</v>
      </c>
      <c r="R570" t="s">
        <v>74</v>
      </c>
      <c r="S570" t="s">
        <v>74</v>
      </c>
      <c r="T570" t="s">
        <v>7800</v>
      </c>
      <c r="U570" t="s">
        <v>7801</v>
      </c>
      <c r="V570" t="s">
        <v>7802</v>
      </c>
      <c r="W570" t="s">
        <v>7803</v>
      </c>
      <c r="X570" t="s">
        <v>7804</v>
      </c>
      <c r="Y570" t="s">
        <v>7805</v>
      </c>
      <c r="Z570" t="s">
        <v>7806</v>
      </c>
      <c r="AA570" t="s">
        <v>74</v>
      </c>
      <c r="AB570" t="s">
        <v>74</v>
      </c>
      <c r="AC570" t="s">
        <v>74</v>
      </c>
      <c r="AD570" t="s">
        <v>74</v>
      </c>
      <c r="AE570" t="s">
        <v>74</v>
      </c>
      <c r="AF570" t="s">
        <v>74</v>
      </c>
      <c r="AG570">
        <v>37</v>
      </c>
      <c r="AH570">
        <v>43</v>
      </c>
      <c r="AI570">
        <v>55</v>
      </c>
      <c r="AJ570">
        <v>0</v>
      </c>
      <c r="AK570">
        <v>21</v>
      </c>
      <c r="AL570" t="s">
        <v>813</v>
      </c>
      <c r="AM570" t="s">
        <v>814</v>
      </c>
      <c r="AN570" t="s">
        <v>815</v>
      </c>
      <c r="AO570" t="s">
        <v>7791</v>
      </c>
      <c r="AP570" t="s">
        <v>7792</v>
      </c>
      <c r="AQ570" t="s">
        <v>74</v>
      </c>
      <c r="AR570" t="s">
        <v>7793</v>
      </c>
      <c r="AS570" t="s">
        <v>7794</v>
      </c>
      <c r="AT570" t="s">
        <v>7461</v>
      </c>
      <c r="AU570">
        <v>2000</v>
      </c>
      <c r="AV570">
        <v>36</v>
      </c>
      <c r="AW570">
        <v>5</v>
      </c>
      <c r="AX570" t="s">
        <v>74</v>
      </c>
      <c r="AY570" t="s">
        <v>74</v>
      </c>
      <c r="AZ570" t="s">
        <v>74</v>
      </c>
      <c r="BA570" t="s">
        <v>74</v>
      </c>
      <c r="BB570">
        <v>914</v>
      </c>
      <c r="BC570">
        <v>923</v>
      </c>
      <c r="BD570" t="s">
        <v>74</v>
      </c>
      <c r="BE570" t="s">
        <v>7807</v>
      </c>
      <c r="BF570" t="str">
        <f>HYPERLINK("http://dx.doi.org/10.1046/j.1529-8817.2000.99201.x","http://dx.doi.org/10.1046/j.1529-8817.2000.99201.x")</f>
        <v>http://dx.doi.org/10.1046/j.1529-8817.2000.99201.x</v>
      </c>
      <c r="BG570" t="s">
        <v>74</v>
      </c>
      <c r="BH570" t="s">
        <v>74</v>
      </c>
      <c r="BI570">
        <v>10</v>
      </c>
      <c r="BJ570" t="s">
        <v>190</v>
      </c>
      <c r="BK570" t="s">
        <v>94</v>
      </c>
      <c r="BL570" t="s">
        <v>190</v>
      </c>
      <c r="BM570" t="s">
        <v>7796</v>
      </c>
      <c r="BN570" t="s">
        <v>74</v>
      </c>
      <c r="BO570" t="s">
        <v>74</v>
      </c>
      <c r="BP570" t="s">
        <v>74</v>
      </c>
      <c r="BQ570" t="s">
        <v>74</v>
      </c>
      <c r="BR570" t="s">
        <v>97</v>
      </c>
      <c r="BS570" t="s">
        <v>7808</v>
      </c>
      <c r="BT570" t="str">
        <f>HYPERLINK("https%3A%2F%2Fwww.webofscience.com%2Fwos%2Fwoscc%2Ffull-record%2FWOS:000165409200015","View Full Record in Web of Science")</f>
        <v>View Full Record in Web of Science</v>
      </c>
    </row>
    <row r="571" spans="1:72" x14ac:dyDescent="0.15">
      <c r="A571" t="s">
        <v>72</v>
      </c>
      <c r="B571" t="s">
        <v>7809</v>
      </c>
      <c r="C571" t="s">
        <v>74</v>
      </c>
      <c r="D571" t="s">
        <v>74</v>
      </c>
      <c r="E571" t="s">
        <v>74</v>
      </c>
      <c r="F571" t="s">
        <v>7810</v>
      </c>
      <c r="G571" t="s">
        <v>74</v>
      </c>
      <c r="H571" t="s">
        <v>74</v>
      </c>
      <c r="I571" t="s">
        <v>7811</v>
      </c>
      <c r="J571" t="s">
        <v>2417</v>
      </c>
      <c r="K571" t="s">
        <v>74</v>
      </c>
      <c r="L571" t="s">
        <v>74</v>
      </c>
      <c r="M571" t="s">
        <v>77</v>
      </c>
      <c r="N571" t="s">
        <v>78</v>
      </c>
      <c r="O571" t="s">
        <v>74</v>
      </c>
      <c r="P571" t="s">
        <v>74</v>
      </c>
      <c r="Q571" t="s">
        <v>74</v>
      </c>
      <c r="R571" t="s">
        <v>74</v>
      </c>
      <c r="S571" t="s">
        <v>74</v>
      </c>
      <c r="T571" t="s">
        <v>74</v>
      </c>
      <c r="U571" t="s">
        <v>7812</v>
      </c>
      <c r="V571" t="s">
        <v>7813</v>
      </c>
      <c r="W571" t="s">
        <v>7814</v>
      </c>
      <c r="X571" t="s">
        <v>7815</v>
      </c>
      <c r="Y571" t="s">
        <v>7816</v>
      </c>
      <c r="Z571" t="s">
        <v>7817</v>
      </c>
      <c r="AA571" t="s">
        <v>7818</v>
      </c>
      <c r="AB571" t="s">
        <v>7819</v>
      </c>
      <c r="AC571" t="s">
        <v>74</v>
      </c>
      <c r="AD571" t="s">
        <v>74</v>
      </c>
      <c r="AE571" t="s">
        <v>74</v>
      </c>
      <c r="AF571" t="s">
        <v>74</v>
      </c>
      <c r="AG571">
        <v>42</v>
      </c>
      <c r="AH571">
        <v>73</v>
      </c>
      <c r="AI571">
        <v>80</v>
      </c>
      <c r="AJ571">
        <v>0</v>
      </c>
      <c r="AK571">
        <v>15</v>
      </c>
      <c r="AL571" t="s">
        <v>1842</v>
      </c>
      <c r="AM571" t="s">
        <v>1843</v>
      </c>
      <c r="AN571" t="s">
        <v>1844</v>
      </c>
      <c r="AO571" t="s">
        <v>2423</v>
      </c>
      <c r="AP571" t="s">
        <v>74</v>
      </c>
      <c r="AQ571" t="s">
        <v>74</v>
      </c>
      <c r="AR571" t="s">
        <v>2424</v>
      </c>
      <c r="AS571" t="s">
        <v>2425</v>
      </c>
      <c r="AT571" t="s">
        <v>7461</v>
      </c>
      <c r="AU571">
        <v>2000</v>
      </c>
      <c r="AV571">
        <v>30</v>
      </c>
      <c r="AW571">
        <v>10</v>
      </c>
      <c r="AX571" t="s">
        <v>74</v>
      </c>
      <c r="AY571" t="s">
        <v>74</v>
      </c>
      <c r="AZ571" t="s">
        <v>74</v>
      </c>
      <c r="BA571" t="s">
        <v>74</v>
      </c>
      <c r="BB571">
        <v>2589</v>
      </c>
      <c r="BC571">
        <v>2609</v>
      </c>
      <c r="BD571" t="s">
        <v>74</v>
      </c>
      <c r="BE571" t="s">
        <v>7820</v>
      </c>
      <c r="BF571" t="str">
        <f>HYPERLINK("http://dx.doi.org/10.1175/1520-0485(2000)030&lt;2589:HACMIT&gt;2.0.CO;2","http://dx.doi.org/10.1175/1520-0485(2000)030&lt;2589:HACMIT&gt;2.0.CO;2")</f>
        <v>http://dx.doi.org/10.1175/1520-0485(2000)030&lt;2589:HACMIT&gt;2.0.CO;2</v>
      </c>
      <c r="BG571" t="s">
        <v>74</v>
      </c>
      <c r="BH571" t="s">
        <v>74</v>
      </c>
      <c r="BI571">
        <v>21</v>
      </c>
      <c r="BJ571" t="s">
        <v>252</v>
      </c>
      <c r="BK571" t="s">
        <v>94</v>
      </c>
      <c r="BL571" t="s">
        <v>252</v>
      </c>
      <c r="BM571" t="s">
        <v>7821</v>
      </c>
      <c r="BN571" t="s">
        <v>74</v>
      </c>
      <c r="BO571" t="s">
        <v>1850</v>
      </c>
      <c r="BP571" t="s">
        <v>74</v>
      </c>
      <c r="BQ571" t="s">
        <v>74</v>
      </c>
      <c r="BR571" t="s">
        <v>97</v>
      </c>
      <c r="BS571" t="s">
        <v>7822</v>
      </c>
      <c r="BT571" t="str">
        <f>HYPERLINK("https%3A%2F%2Fwww.webofscience.com%2Fwos%2Fwoscc%2Ffull-record%2FWOS:000090106700007","View Full Record in Web of Science")</f>
        <v>View Full Record in Web of Science</v>
      </c>
    </row>
    <row r="572" spans="1:72" x14ac:dyDescent="0.15">
      <c r="A572" t="s">
        <v>72</v>
      </c>
      <c r="B572" t="s">
        <v>5916</v>
      </c>
      <c r="C572" t="s">
        <v>74</v>
      </c>
      <c r="D572" t="s">
        <v>74</v>
      </c>
      <c r="E572" t="s">
        <v>74</v>
      </c>
      <c r="F572" t="s">
        <v>5916</v>
      </c>
      <c r="G572" t="s">
        <v>74</v>
      </c>
      <c r="H572" t="s">
        <v>74</v>
      </c>
      <c r="I572" t="s">
        <v>7823</v>
      </c>
      <c r="J572" t="s">
        <v>7824</v>
      </c>
      <c r="K572" t="s">
        <v>74</v>
      </c>
      <c r="L572" t="s">
        <v>74</v>
      </c>
      <c r="M572" t="s">
        <v>77</v>
      </c>
      <c r="N572" t="s">
        <v>78</v>
      </c>
      <c r="O572" t="s">
        <v>74</v>
      </c>
      <c r="P572" t="s">
        <v>74</v>
      </c>
      <c r="Q572" t="s">
        <v>74</v>
      </c>
      <c r="R572" t="s">
        <v>74</v>
      </c>
      <c r="S572" t="s">
        <v>74</v>
      </c>
      <c r="T572" t="s">
        <v>74</v>
      </c>
      <c r="U572" t="s">
        <v>74</v>
      </c>
      <c r="V572" t="s">
        <v>7825</v>
      </c>
      <c r="W572" t="s">
        <v>7826</v>
      </c>
      <c r="X572" t="s">
        <v>5921</v>
      </c>
      <c r="Y572" t="s">
        <v>7827</v>
      </c>
      <c r="Z572" t="s">
        <v>74</v>
      </c>
      <c r="AA572" t="s">
        <v>74</v>
      </c>
      <c r="AB572" t="s">
        <v>7828</v>
      </c>
      <c r="AC572" t="s">
        <v>74</v>
      </c>
      <c r="AD572" t="s">
        <v>74</v>
      </c>
      <c r="AE572" t="s">
        <v>74</v>
      </c>
      <c r="AF572" t="s">
        <v>74</v>
      </c>
      <c r="AG572">
        <v>8</v>
      </c>
      <c r="AH572">
        <v>8</v>
      </c>
      <c r="AI572">
        <v>9</v>
      </c>
      <c r="AJ572">
        <v>0</v>
      </c>
      <c r="AK572">
        <v>5</v>
      </c>
      <c r="AL572" t="s">
        <v>108</v>
      </c>
      <c r="AM572" t="s">
        <v>160</v>
      </c>
      <c r="AN572" t="s">
        <v>5086</v>
      </c>
      <c r="AO572" t="s">
        <v>7829</v>
      </c>
      <c r="AP572" t="s">
        <v>74</v>
      </c>
      <c r="AQ572" t="s">
        <v>74</v>
      </c>
      <c r="AR572" t="s">
        <v>7830</v>
      </c>
      <c r="AS572" t="s">
        <v>7831</v>
      </c>
      <c r="AT572" t="s">
        <v>7461</v>
      </c>
      <c r="AU572">
        <v>2000</v>
      </c>
      <c r="AV572">
        <v>80</v>
      </c>
      <c r="AW572">
        <v>5</v>
      </c>
      <c r="AX572" t="s">
        <v>74</v>
      </c>
      <c r="AY572" t="s">
        <v>74</v>
      </c>
      <c r="AZ572" t="s">
        <v>74</v>
      </c>
      <c r="BA572" t="s">
        <v>74</v>
      </c>
      <c r="BB572">
        <v>835</v>
      </c>
      <c r="BC572">
        <v>842</v>
      </c>
      <c r="BD572" t="s">
        <v>74</v>
      </c>
      <c r="BE572" t="s">
        <v>7832</v>
      </c>
      <c r="BF572" t="str">
        <f>HYPERLINK("http://dx.doi.org/10.1017/S0025315400002812","http://dx.doi.org/10.1017/S0025315400002812")</f>
        <v>http://dx.doi.org/10.1017/S0025315400002812</v>
      </c>
      <c r="BG572" t="s">
        <v>74</v>
      </c>
      <c r="BH572" t="s">
        <v>74</v>
      </c>
      <c r="BI572">
        <v>8</v>
      </c>
      <c r="BJ572" t="s">
        <v>1259</v>
      </c>
      <c r="BK572" t="s">
        <v>94</v>
      </c>
      <c r="BL572" t="s">
        <v>1259</v>
      </c>
      <c r="BM572" t="s">
        <v>7833</v>
      </c>
      <c r="BN572" t="s">
        <v>74</v>
      </c>
      <c r="BO572" t="s">
        <v>74</v>
      </c>
      <c r="BP572" t="s">
        <v>74</v>
      </c>
      <c r="BQ572" t="s">
        <v>74</v>
      </c>
      <c r="BR572" t="s">
        <v>97</v>
      </c>
      <c r="BS572" t="s">
        <v>7834</v>
      </c>
      <c r="BT572" t="str">
        <f>HYPERLINK("https%3A%2F%2Fwww.webofscience.com%2Fwos%2Fwoscc%2Ffull-record%2FWOS:000165459500009","View Full Record in Web of Science")</f>
        <v>View Full Record in Web of Science</v>
      </c>
    </row>
    <row r="573" spans="1:72" x14ac:dyDescent="0.15">
      <c r="A573" t="s">
        <v>72</v>
      </c>
      <c r="B573" t="s">
        <v>7835</v>
      </c>
      <c r="C573" t="s">
        <v>74</v>
      </c>
      <c r="D573" t="s">
        <v>74</v>
      </c>
      <c r="E573" t="s">
        <v>74</v>
      </c>
      <c r="F573" t="s">
        <v>7835</v>
      </c>
      <c r="G573" t="s">
        <v>74</v>
      </c>
      <c r="H573" t="s">
        <v>74</v>
      </c>
      <c r="I573" t="s">
        <v>7836</v>
      </c>
      <c r="J573" t="s">
        <v>7837</v>
      </c>
      <c r="K573" t="s">
        <v>74</v>
      </c>
      <c r="L573" t="s">
        <v>74</v>
      </c>
      <c r="M573" t="s">
        <v>77</v>
      </c>
      <c r="N573" t="s">
        <v>7340</v>
      </c>
      <c r="O573" t="s">
        <v>74</v>
      </c>
      <c r="P573" t="s">
        <v>74</v>
      </c>
      <c r="Q573" t="s">
        <v>74</v>
      </c>
      <c r="R573" t="s">
        <v>74</v>
      </c>
      <c r="S573" t="s">
        <v>74</v>
      </c>
      <c r="T573" t="s">
        <v>74</v>
      </c>
      <c r="U573" t="s">
        <v>74</v>
      </c>
      <c r="V573" t="s">
        <v>74</v>
      </c>
      <c r="W573" t="s">
        <v>74</v>
      </c>
      <c r="X573" t="s">
        <v>74</v>
      </c>
      <c r="Y573" t="s">
        <v>74</v>
      </c>
      <c r="Z573" t="s">
        <v>74</v>
      </c>
      <c r="AA573" t="s">
        <v>74</v>
      </c>
      <c r="AB573" t="s">
        <v>74</v>
      </c>
      <c r="AC573" t="s">
        <v>74</v>
      </c>
      <c r="AD573" t="s">
        <v>74</v>
      </c>
      <c r="AE573" t="s">
        <v>74</v>
      </c>
      <c r="AF573" t="s">
        <v>74</v>
      </c>
      <c r="AG573">
        <v>0</v>
      </c>
      <c r="AH573">
        <v>0</v>
      </c>
      <c r="AI573">
        <v>0</v>
      </c>
      <c r="AJ573">
        <v>0</v>
      </c>
      <c r="AK573">
        <v>0</v>
      </c>
      <c r="AL573" t="s">
        <v>245</v>
      </c>
      <c r="AM573" t="s">
        <v>246</v>
      </c>
      <c r="AN573" t="s">
        <v>247</v>
      </c>
      <c r="AO573" t="s">
        <v>7838</v>
      </c>
      <c r="AP573" t="s">
        <v>7839</v>
      </c>
      <c r="AQ573" t="s">
        <v>74</v>
      </c>
      <c r="AR573" t="s">
        <v>7840</v>
      </c>
      <c r="AS573" t="s">
        <v>7841</v>
      </c>
      <c r="AT573" t="s">
        <v>7461</v>
      </c>
      <c r="AU573">
        <v>2000</v>
      </c>
      <c r="AV573">
        <v>40</v>
      </c>
      <c r="AW573">
        <v>10</v>
      </c>
      <c r="AX573" t="s">
        <v>74</v>
      </c>
      <c r="AY573" t="s">
        <v>74</v>
      </c>
      <c r="AZ573" t="s">
        <v>74</v>
      </c>
      <c r="BA573" t="s">
        <v>74</v>
      </c>
      <c r="BB573">
        <v>803</v>
      </c>
      <c r="BC573">
        <v>804</v>
      </c>
      <c r="BD573" t="s">
        <v>74</v>
      </c>
      <c r="BE573" t="s">
        <v>74</v>
      </c>
      <c r="BF573" t="s">
        <v>74</v>
      </c>
      <c r="BG573" t="s">
        <v>74</v>
      </c>
      <c r="BH573" t="s">
        <v>74</v>
      </c>
      <c r="BI573">
        <v>2</v>
      </c>
      <c r="BJ573" t="s">
        <v>7842</v>
      </c>
      <c r="BK573" t="s">
        <v>94</v>
      </c>
      <c r="BL573" t="s">
        <v>619</v>
      </c>
      <c r="BM573" t="s">
        <v>7843</v>
      </c>
      <c r="BN573" t="s">
        <v>74</v>
      </c>
      <c r="BO573" t="s">
        <v>74</v>
      </c>
      <c r="BP573" t="s">
        <v>74</v>
      </c>
      <c r="BQ573" t="s">
        <v>74</v>
      </c>
      <c r="BR573" t="s">
        <v>97</v>
      </c>
      <c r="BS573" t="s">
        <v>7844</v>
      </c>
      <c r="BT573" t="str">
        <f>HYPERLINK("https%3A%2F%2Fwww.webofscience.com%2Fwos%2Fwoscc%2Ffull-record%2FWOS:000165137300004","View Full Record in Web of Science")</f>
        <v>View Full Record in Web of Science</v>
      </c>
    </row>
    <row r="574" spans="1:72" x14ac:dyDescent="0.15">
      <c r="A574" t="s">
        <v>72</v>
      </c>
      <c r="B574" t="s">
        <v>7845</v>
      </c>
      <c r="C574" t="s">
        <v>74</v>
      </c>
      <c r="D574" t="s">
        <v>74</v>
      </c>
      <c r="E574" t="s">
        <v>74</v>
      </c>
      <c r="F574" t="s">
        <v>7845</v>
      </c>
      <c r="G574" t="s">
        <v>74</v>
      </c>
      <c r="H574" t="s">
        <v>74</v>
      </c>
      <c r="I574" t="s">
        <v>7846</v>
      </c>
      <c r="J574" t="s">
        <v>7837</v>
      </c>
      <c r="K574" t="s">
        <v>74</v>
      </c>
      <c r="L574" t="s">
        <v>74</v>
      </c>
      <c r="M574" t="s">
        <v>77</v>
      </c>
      <c r="N574" t="s">
        <v>78</v>
      </c>
      <c r="O574" t="s">
        <v>74</v>
      </c>
      <c r="P574" t="s">
        <v>74</v>
      </c>
      <c r="Q574" t="s">
        <v>74</v>
      </c>
      <c r="R574" t="s">
        <v>74</v>
      </c>
      <c r="S574" t="s">
        <v>74</v>
      </c>
      <c r="T574" t="s">
        <v>7847</v>
      </c>
      <c r="U574" t="s">
        <v>7848</v>
      </c>
      <c r="V574" t="s">
        <v>7849</v>
      </c>
      <c r="W574" t="s">
        <v>7850</v>
      </c>
      <c r="X574" t="s">
        <v>7851</v>
      </c>
      <c r="Y574" t="s">
        <v>7852</v>
      </c>
      <c r="Z574" t="s">
        <v>7853</v>
      </c>
      <c r="AA574" t="s">
        <v>7854</v>
      </c>
      <c r="AB574" t="s">
        <v>74</v>
      </c>
      <c r="AC574" t="s">
        <v>74</v>
      </c>
      <c r="AD574" t="s">
        <v>74</v>
      </c>
      <c r="AE574" t="s">
        <v>74</v>
      </c>
      <c r="AF574" t="s">
        <v>74</v>
      </c>
      <c r="AG574">
        <v>22</v>
      </c>
      <c r="AH574">
        <v>27</v>
      </c>
      <c r="AI574">
        <v>30</v>
      </c>
      <c r="AJ574">
        <v>0</v>
      </c>
      <c r="AK574">
        <v>3</v>
      </c>
      <c r="AL574" t="s">
        <v>245</v>
      </c>
      <c r="AM574" t="s">
        <v>246</v>
      </c>
      <c r="AN574" t="s">
        <v>247</v>
      </c>
      <c r="AO574" t="s">
        <v>7838</v>
      </c>
      <c r="AP574" t="s">
        <v>7839</v>
      </c>
      <c r="AQ574" t="s">
        <v>74</v>
      </c>
      <c r="AR574" t="s">
        <v>7840</v>
      </c>
      <c r="AS574" t="s">
        <v>7841</v>
      </c>
      <c r="AT574" t="s">
        <v>7461</v>
      </c>
      <c r="AU574">
        <v>2000</v>
      </c>
      <c r="AV574">
        <v>40</v>
      </c>
      <c r="AW574">
        <v>10</v>
      </c>
      <c r="AX574" t="s">
        <v>74</v>
      </c>
      <c r="AY574" t="s">
        <v>74</v>
      </c>
      <c r="AZ574" t="s">
        <v>74</v>
      </c>
      <c r="BA574" t="s">
        <v>74</v>
      </c>
      <c r="BB574">
        <v>869</v>
      </c>
      <c r="BC574">
        <v>872</v>
      </c>
      <c r="BD574" t="s">
        <v>74</v>
      </c>
      <c r="BE574" t="s">
        <v>7855</v>
      </c>
      <c r="BF574" t="str">
        <f>HYPERLINK("http://dx.doi.org/10.1016/S0025-326X(00)00077-1","http://dx.doi.org/10.1016/S0025-326X(00)00077-1")</f>
        <v>http://dx.doi.org/10.1016/S0025-326X(00)00077-1</v>
      </c>
      <c r="BG574" t="s">
        <v>74</v>
      </c>
      <c r="BH574" t="s">
        <v>74</v>
      </c>
      <c r="BI574">
        <v>4</v>
      </c>
      <c r="BJ574" t="s">
        <v>7842</v>
      </c>
      <c r="BK574" t="s">
        <v>94</v>
      </c>
      <c r="BL574" t="s">
        <v>619</v>
      </c>
      <c r="BM574" t="s">
        <v>7843</v>
      </c>
      <c r="BN574" t="s">
        <v>74</v>
      </c>
      <c r="BO574" t="s">
        <v>74</v>
      </c>
      <c r="BP574" t="s">
        <v>74</v>
      </c>
      <c r="BQ574" t="s">
        <v>74</v>
      </c>
      <c r="BR574" t="s">
        <v>97</v>
      </c>
      <c r="BS574" t="s">
        <v>7856</v>
      </c>
      <c r="BT574" t="str">
        <f>HYPERLINK("https%3A%2F%2Fwww.webofscience.com%2Fwos%2Fwoscc%2Ffull-record%2FWOS:000165137300017","View Full Record in Web of Science")</f>
        <v>View Full Record in Web of Science</v>
      </c>
    </row>
    <row r="575" spans="1:72" x14ac:dyDescent="0.15">
      <c r="A575" t="s">
        <v>72</v>
      </c>
      <c r="B575" t="s">
        <v>7857</v>
      </c>
      <c r="C575" t="s">
        <v>74</v>
      </c>
      <c r="D575" t="s">
        <v>74</v>
      </c>
      <c r="E575" t="s">
        <v>74</v>
      </c>
      <c r="F575" t="s">
        <v>7857</v>
      </c>
      <c r="G575" t="s">
        <v>74</v>
      </c>
      <c r="H575" t="s">
        <v>74</v>
      </c>
      <c r="I575" t="s">
        <v>7858</v>
      </c>
      <c r="J575" t="s">
        <v>7837</v>
      </c>
      <c r="K575" t="s">
        <v>74</v>
      </c>
      <c r="L575" t="s">
        <v>74</v>
      </c>
      <c r="M575" t="s">
        <v>77</v>
      </c>
      <c r="N575" t="s">
        <v>78</v>
      </c>
      <c r="O575" t="s">
        <v>74</v>
      </c>
      <c r="P575" t="s">
        <v>74</v>
      </c>
      <c r="Q575" t="s">
        <v>74</v>
      </c>
      <c r="R575" t="s">
        <v>74</v>
      </c>
      <c r="S575" t="s">
        <v>74</v>
      </c>
      <c r="T575" t="s">
        <v>7859</v>
      </c>
      <c r="U575" t="s">
        <v>7860</v>
      </c>
      <c r="V575" t="s">
        <v>7861</v>
      </c>
      <c r="W575" t="s">
        <v>7862</v>
      </c>
      <c r="X575" t="s">
        <v>7863</v>
      </c>
      <c r="Y575" t="s">
        <v>7864</v>
      </c>
      <c r="Z575" t="s">
        <v>74</v>
      </c>
      <c r="AA575" t="s">
        <v>7865</v>
      </c>
      <c r="AB575" t="s">
        <v>7866</v>
      </c>
      <c r="AC575" t="s">
        <v>74</v>
      </c>
      <c r="AD575" t="s">
        <v>74</v>
      </c>
      <c r="AE575" t="s">
        <v>74</v>
      </c>
      <c r="AF575" t="s">
        <v>74</v>
      </c>
      <c r="AG575">
        <v>25</v>
      </c>
      <c r="AH575">
        <v>9</v>
      </c>
      <c r="AI575">
        <v>9</v>
      </c>
      <c r="AJ575">
        <v>0</v>
      </c>
      <c r="AK575">
        <v>9</v>
      </c>
      <c r="AL575" t="s">
        <v>245</v>
      </c>
      <c r="AM575" t="s">
        <v>246</v>
      </c>
      <c r="AN575" t="s">
        <v>247</v>
      </c>
      <c r="AO575" t="s">
        <v>7838</v>
      </c>
      <c r="AP575" t="s">
        <v>7839</v>
      </c>
      <c r="AQ575" t="s">
        <v>74</v>
      </c>
      <c r="AR575" t="s">
        <v>7840</v>
      </c>
      <c r="AS575" t="s">
        <v>7841</v>
      </c>
      <c r="AT575" t="s">
        <v>7461</v>
      </c>
      <c r="AU575">
        <v>2000</v>
      </c>
      <c r="AV575">
        <v>40</v>
      </c>
      <c r="AW575">
        <v>10</v>
      </c>
      <c r="AX575" t="s">
        <v>74</v>
      </c>
      <c r="AY575" t="s">
        <v>74</v>
      </c>
      <c r="AZ575" t="s">
        <v>74</v>
      </c>
      <c r="BA575" t="s">
        <v>74</v>
      </c>
      <c r="BB575">
        <v>873</v>
      </c>
      <c r="BC575">
        <v>878</v>
      </c>
      <c r="BD575" t="s">
        <v>74</v>
      </c>
      <c r="BE575" t="s">
        <v>74</v>
      </c>
      <c r="BF575" t="s">
        <v>74</v>
      </c>
      <c r="BG575" t="s">
        <v>74</v>
      </c>
      <c r="BH575" t="s">
        <v>74</v>
      </c>
      <c r="BI575">
        <v>6</v>
      </c>
      <c r="BJ575" t="s">
        <v>7842</v>
      </c>
      <c r="BK575" t="s">
        <v>94</v>
      </c>
      <c r="BL575" t="s">
        <v>619</v>
      </c>
      <c r="BM575" t="s">
        <v>7843</v>
      </c>
      <c r="BN575" t="s">
        <v>74</v>
      </c>
      <c r="BO575" t="s">
        <v>74</v>
      </c>
      <c r="BP575" t="s">
        <v>74</v>
      </c>
      <c r="BQ575" t="s">
        <v>74</v>
      </c>
      <c r="BR575" t="s">
        <v>97</v>
      </c>
      <c r="BS575" t="s">
        <v>7867</v>
      </c>
      <c r="BT575" t="str">
        <f>HYPERLINK("https%3A%2F%2Fwww.webofscience.com%2Fwos%2Fwoscc%2Ffull-record%2FWOS:000165137300018","View Full Record in Web of Science")</f>
        <v>View Full Record in Web of Science</v>
      </c>
    </row>
    <row r="576" spans="1:72" x14ac:dyDescent="0.15">
      <c r="A576" t="s">
        <v>72</v>
      </c>
      <c r="B576" t="s">
        <v>7868</v>
      </c>
      <c r="C576" t="s">
        <v>74</v>
      </c>
      <c r="D576" t="s">
        <v>74</v>
      </c>
      <c r="E576" t="s">
        <v>74</v>
      </c>
      <c r="F576" t="s">
        <v>7868</v>
      </c>
      <c r="G576" t="s">
        <v>74</v>
      </c>
      <c r="H576" t="s">
        <v>74</v>
      </c>
      <c r="I576" t="s">
        <v>7869</v>
      </c>
      <c r="J576" t="s">
        <v>7870</v>
      </c>
      <c r="K576" t="s">
        <v>74</v>
      </c>
      <c r="L576" t="s">
        <v>74</v>
      </c>
      <c r="M576" t="s">
        <v>77</v>
      </c>
      <c r="N576" t="s">
        <v>78</v>
      </c>
      <c r="O576" t="s">
        <v>74</v>
      </c>
      <c r="P576" t="s">
        <v>74</v>
      </c>
      <c r="Q576" t="s">
        <v>74</v>
      </c>
      <c r="R576" t="s">
        <v>74</v>
      </c>
      <c r="S576" t="s">
        <v>74</v>
      </c>
      <c r="T576" t="s">
        <v>74</v>
      </c>
      <c r="U576" t="s">
        <v>7871</v>
      </c>
      <c r="V576" t="s">
        <v>7872</v>
      </c>
      <c r="W576" t="s">
        <v>7873</v>
      </c>
      <c r="X576" t="s">
        <v>7874</v>
      </c>
      <c r="Y576" t="s">
        <v>7875</v>
      </c>
      <c r="Z576" t="s">
        <v>7876</v>
      </c>
      <c r="AA576" t="s">
        <v>7877</v>
      </c>
      <c r="AB576" t="s">
        <v>7878</v>
      </c>
      <c r="AC576" t="s">
        <v>74</v>
      </c>
      <c r="AD576" t="s">
        <v>74</v>
      </c>
      <c r="AE576" t="s">
        <v>74</v>
      </c>
      <c r="AF576" t="s">
        <v>74</v>
      </c>
      <c r="AG576">
        <v>59</v>
      </c>
      <c r="AH576">
        <v>57</v>
      </c>
      <c r="AI576">
        <v>70</v>
      </c>
      <c r="AJ576">
        <v>0</v>
      </c>
      <c r="AK576">
        <v>7</v>
      </c>
      <c r="AL576" t="s">
        <v>7879</v>
      </c>
      <c r="AM576" t="s">
        <v>1348</v>
      </c>
      <c r="AN576" t="s">
        <v>4118</v>
      </c>
      <c r="AO576" t="s">
        <v>7880</v>
      </c>
      <c r="AP576" t="s">
        <v>74</v>
      </c>
      <c r="AQ576" t="s">
        <v>74</v>
      </c>
      <c r="AR576" t="s">
        <v>7881</v>
      </c>
      <c r="AS576" t="s">
        <v>7882</v>
      </c>
      <c r="AT576" t="s">
        <v>7461</v>
      </c>
      <c r="AU576">
        <v>2000</v>
      </c>
      <c r="AV576">
        <v>17</v>
      </c>
      <c r="AW576">
        <v>1</v>
      </c>
      <c r="AX576" t="s">
        <v>74</v>
      </c>
      <c r="AY576" t="s">
        <v>74</v>
      </c>
      <c r="AZ576" t="s">
        <v>74</v>
      </c>
      <c r="BA576" t="s">
        <v>74</v>
      </c>
      <c r="BB576">
        <v>26</v>
      </c>
      <c r="BC576">
        <v>36</v>
      </c>
      <c r="BD576" t="s">
        <v>74</v>
      </c>
      <c r="BE576" t="s">
        <v>7883</v>
      </c>
      <c r="BF576" t="str">
        <f>HYPERLINK("http://dx.doi.org/10.1006/mpev.2000.0823","http://dx.doi.org/10.1006/mpev.2000.0823")</f>
        <v>http://dx.doi.org/10.1006/mpev.2000.0823</v>
      </c>
      <c r="BG576" t="s">
        <v>74</v>
      </c>
      <c r="BH576" t="s">
        <v>74</v>
      </c>
      <c r="BI576">
        <v>11</v>
      </c>
      <c r="BJ576" t="s">
        <v>7055</v>
      </c>
      <c r="BK576" t="s">
        <v>94</v>
      </c>
      <c r="BL576" t="s">
        <v>7055</v>
      </c>
      <c r="BM576" t="s">
        <v>7884</v>
      </c>
      <c r="BN576">
        <v>11020302</v>
      </c>
      <c r="BO576" t="s">
        <v>74</v>
      </c>
      <c r="BP576" t="s">
        <v>74</v>
      </c>
      <c r="BQ576" t="s">
        <v>74</v>
      </c>
      <c r="BR576" t="s">
        <v>97</v>
      </c>
      <c r="BS576" t="s">
        <v>7885</v>
      </c>
      <c r="BT576" t="str">
        <f>HYPERLINK("https%3A%2F%2Fwww.webofscience.com%2Fwos%2Fwoscc%2Ffull-record%2FWOS:000089952700004","View Full Record in Web of Science")</f>
        <v>View Full Record in Web of Science</v>
      </c>
    </row>
    <row r="577" spans="1:72" x14ac:dyDescent="0.15">
      <c r="A577" t="s">
        <v>72</v>
      </c>
      <c r="B577" t="s">
        <v>7886</v>
      </c>
      <c r="C577" t="s">
        <v>74</v>
      </c>
      <c r="D577" t="s">
        <v>74</v>
      </c>
      <c r="E577" t="s">
        <v>74</v>
      </c>
      <c r="F577" t="s">
        <v>7886</v>
      </c>
      <c r="G577" t="s">
        <v>74</v>
      </c>
      <c r="H577" t="s">
        <v>74</v>
      </c>
      <c r="I577" t="s">
        <v>7887</v>
      </c>
      <c r="J577" t="s">
        <v>7888</v>
      </c>
      <c r="K577" t="s">
        <v>74</v>
      </c>
      <c r="L577" t="s">
        <v>74</v>
      </c>
      <c r="M577" t="s">
        <v>77</v>
      </c>
      <c r="N577" t="s">
        <v>576</v>
      </c>
      <c r="O577" t="s">
        <v>7889</v>
      </c>
      <c r="P577" t="s">
        <v>7890</v>
      </c>
      <c r="Q577" t="s">
        <v>7891</v>
      </c>
      <c r="R577" t="s">
        <v>74</v>
      </c>
      <c r="S577" t="s">
        <v>74</v>
      </c>
      <c r="T577" t="s">
        <v>7892</v>
      </c>
      <c r="U577" t="s">
        <v>7893</v>
      </c>
      <c r="V577" t="s">
        <v>7894</v>
      </c>
      <c r="W577" t="s">
        <v>7895</v>
      </c>
      <c r="X577" t="s">
        <v>7896</v>
      </c>
      <c r="Y577" t="s">
        <v>7897</v>
      </c>
      <c r="Z577" t="s">
        <v>7898</v>
      </c>
      <c r="AA577" t="s">
        <v>7899</v>
      </c>
      <c r="AB577" t="s">
        <v>7900</v>
      </c>
      <c r="AC577" t="s">
        <v>74</v>
      </c>
      <c r="AD577" t="s">
        <v>74</v>
      </c>
      <c r="AE577" t="s">
        <v>74</v>
      </c>
      <c r="AF577" t="s">
        <v>74</v>
      </c>
      <c r="AG577">
        <v>35</v>
      </c>
      <c r="AH577">
        <v>26</v>
      </c>
      <c r="AI577">
        <v>28</v>
      </c>
      <c r="AJ577">
        <v>1</v>
      </c>
      <c r="AK577">
        <v>4</v>
      </c>
      <c r="AL577" t="s">
        <v>1823</v>
      </c>
      <c r="AM577" t="s">
        <v>1121</v>
      </c>
      <c r="AN577" t="s">
        <v>1824</v>
      </c>
      <c r="AO577" t="s">
        <v>7901</v>
      </c>
      <c r="AP577" t="s">
        <v>7902</v>
      </c>
      <c r="AQ577" t="s">
        <v>74</v>
      </c>
      <c r="AR577" t="s">
        <v>7903</v>
      </c>
      <c r="AS577" t="s">
        <v>7904</v>
      </c>
      <c r="AT577" t="s">
        <v>7461</v>
      </c>
      <c r="AU577">
        <v>2000</v>
      </c>
      <c r="AV577">
        <v>172</v>
      </c>
      <c r="AW577" t="s">
        <v>74</v>
      </c>
      <c r="AX577" t="s">
        <v>74</v>
      </c>
      <c r="AY577" t="s">
        <v>74</v>
      </c>
      <c r="AZ577" t="s">
        <v>74</v>
      </c>
      <c r="BA577" t="s">
        <v>74</v>
      </c>
      <c r="BB577">
        <v>610</v>
      </c>
      <c r="BC577">
        <v>622</v>
      </c>
      <c r="BD577" t="s">
        <v>74</v>
      </c>
      <c r="BE577" t="s">
        <v>7905</v>
      </c>
      <c r="BF577" t="str">
        <f>HYPERLINK("http://dx.doi.org/10.1016/S0168-583X(00)00280-9","http://dx.doi.org/10.1016/S0168-583X(00)00280-9")</f>
        <v>http://dx.doi.org/10.1016/S0168-583X(00)00280-9</v>
      </c>
      <c r="BG577" t="s">
        <v>74</v>
      </c>
      <c r="BH577" t="s">
        <v>74</v>
      </c>
      <c r="BI577">
        <v>13</v>
      </c>
      <c r="BJ577" t="s">
        <v>7906</v>
      </c>
      <c r="BK577" t="s">
        <v>2763</v>
      </c>
      <c r="BL577" t="s">
        <v>7907</v>
      </c>
      <c r="BM577" t="s">
        <v>7908</v>
      </c>
      <c r="BN577" t="s">
        <v>74</v>
      </c>
      <c r="BO577" t="s">
        <v>74</v>
      </c>
      <c r="BP577" t="s">
        <v>74</v>
      </c>
      <c r="BQ577" t="s">
        <v>74</v>
      </c>
      <c r="BR577" t="s">
        <v>97</v>
      </c>
      <c r="BS577" t="s">
        <v>7909</v>
      </c>
      <c r="BT577" t="str">
        <f>HYPERLINK("https%3A%2F%2Fwww.webofscience.com%2Fwos%2Fwoscc%2Ffull-record%2FWOS:000165231000105","View Full Record in Web of Science")</f>
        <v>View Full Record in Web of Science</v>
      </c>
    </row>
    <row r="578" spans="1:72" x14ac:dyDescent="0.15">
      <c r="A578" t="s">
        <v>72</v>
      </c>
      <c r="B578" t="s">
        <v>7910</v>
      </c>
      <c r="C578" t="s">
        <v>74</v>
      </c>
      <c r="D578" t="s">
        <v>74</v>
      </c>
      <c r="E578" t="s">
        <v>74</v>
      </c>
      <c r="F578" t="s">
        <v>7910</v>
      </c>
      <c r="G578" t="s">
        <v>74</v>
      </c>
      <c r="H578" t="s">
        <v>74</v>
      </c>
      <c r="I578" t="s">
        <v>7911</v>
      </c>
      <c r="J578" t="s">
        <v>7888</v>
      </c>
      <c r="K578" t="s">
        <v>74</v>
      </c>
      <c r="L578" t="s">
        <v>74</v>
      </c>
      <c r="M578" t="s">
        <v>77</v>
      </c>
      <c r="N578" t="s">
        <v>576</v>
      </c>
      <c r="O578" t="s">
        <v>7889</v>
      </c>
      <c r="P578" t="s">
        <v>7890</v>
      </c>
      <c r="Q578" t="s">
        <v>7891</v>
      </c>
      <c r="R578" t="s">
        <v>74</v>
      </c>
      <c r="S578" t="s">
        <v>74</v>
      </c>
      <c r="T578" t="s">
        <v>7912</v>
      </c>
      <c r="U578" t="s">
        <v>7913</v>
      </c>
      <c r="V578" t="s">
        <v>7914</v>
      </c>
      <c r="W578" t="s">
        <v>7915</v>
      </c>
      <c r="X578" t="s">
        <v>7916</v>
      </c>
      <c r="Y578" t="s">
        <v>7917</v>
      </c>
      <c r="Z578" t="s">
        <v>74</v>
      </c>
      <c r="AA578" t="s">
        <v>7918</v>
      </c>
      <c r="AB578" t="s">
        <v>4230</v>
      </c>
      <c r="AC578" t="s">
        <v>74</v>
      </c>
      <c r="AD578" t="s">
        <v>74</v>
      </c>
      <c r="AE578" t="s">
        <v>74</v>
      </c>
      <c r="AF578" t="s">
        <v>74</v>
      </c>
      <c r="AG578">
        <v>13</v>
      </c>
      <c r="AH578">
        <v>8</v>
      </c>
      <c r="AI578">
        <v>10</v>
      </c>
      <c r="AJ578">
        <v>1</v>
      </c>
      <c r="AK578">
        <v>3</v>
      </c>
      <c r="AL578" t="s">
        <v>1120</v>
      </c>
      <c r="AM578" t="s">
        <v>1121</v>
      </c>
      <c r="AN578" t="s">
        <v>2394</v>
      </c>
      <c r="AO578" t="s">
        <v>7901</v>
      </c>
      <c r="AP578" t="s">
        <v>74</v>
      </c>
      <c r="AQ578" t="s">
        <v>74</v>
      </c>
      <c r="AR578" t="s">
        <v>7903</v>
      </c>
      <c r="AS578" t="s">
        <v>7904</v>
      </c>
      <c r="AT578" t="s">
        <v>7461</v>
      </c>
      <c r="AU578">
        <v>2000</v>
      </c>
      <c r="AV578">
        <v>172</v>
      </c>
      <c r="AW578" t="s">
        <v>74</v>
      </c>
      <c r="AX578" t="s">
        <v>74</v>
      </c>
      <c r="AY578" t="s">
        <v>74</v>
      </c>
      <c r="AZ578" t="s">
        <v>74</v>
      </c>
      <c r="BA578" t="s">
        <v>74</v>
      </c>
      <c r="BB578">
        <v>632</v>
      </c>
      <c r="BC578">
        <v>636</v>
      </c>
      <c r="BD578" t="s">
        <v>74</v>
      </c>
      <c r="BE578" t="s">
        <v>7919</v>
      </c>
      <c r="BF578" t="str">
        <f>HYPERLINK("http://dx.doi.org/10.1016/S0168-583X(00)00134-8","http://dx.doi.org/10.1016/S0168-583X(00)00134-8")</f>
        <v>http://dx.doi.org/10.1016/S0168-583X(00)00134-8</v>
      </c>
      <c r="BG578" t="s">
        <v>74</v>
      </c>
      <c r="BH578" t="s">
        <v>74</v>
      </c>
      <c r="BI578">
        <v>5</v>
      </c>
      <c r="BJ578" t="s">
        <v>7906</v>
      </c>
      <c r="BK578" t="s">
        <v>596</v>
      </c>
      <c r="BL578" t="s">
        <v>7907</v>
      </c>
      <c r="BM578" t="s">
        <v>7908</v>
      </c>
      <c r="BN578" t="s">
        <v>74</v>
      </c>
      <c r="BO578" t="s">
        <v>74</v>
      </c>
      <c r="BP578" t="s">
        <v>74</v>
      </c>
      <c r="BQ578" t="s">
        <v>74</v>
      </c>
      <c r="BR578" t="s">
        <v>97</v>
      </c>
      <c r="BS578" t="s">
        <v>7920</v>
      </c>
      <c r="BT578" t="str">
        <f>HYPERLINK("https%3A%2F%2Fwww.webofscience.com%2Fwos%2Fwoscc%2Ffull-record%2FWOS:000165231000107","View Full Record in Web of Science")</f>
        <v>View Full Record in Web of Science</v>
      </c>
    </row>
    <row r="579" spans="1:72" x14ac:dyDescent="0.15">
      <c r="A579" t="s">
        <v>72</v>
      </c>
      <c r="B579" t="s">
        <v>7921</v>
      </c>
      <c r="C579" t="s">
        <v>74</v>
      </c>
      <c r="D579" t="s">
        <v>74</v>
      </c>
      <c r="E579" t="s">
        <v>74</v>
      </c>
      <c r="F579" t="s">
        <v>7921</v>
      </c>
      <c r="G579" t="s">
        <v>74</v>
      </c>
      <c r="H579" t="s">
        <v>74</v>
      </c>
      <c r="I579" t="s">
        <v>7922</v>
      </c>
      <c r="J579" t="s">
        <v>7888</v>
      </c>
      <c r="K579" t="s">
        <v>74</v>
      </c>
      <c r="L579" t="s">
        <v>74</v>
      </c>
      <c r="M579" t="s">
        <v>77</v>
      </c>
      <c r="N579" t="s">
        <v>576</v>
      </c>
      <c r="O579" t="s">
        <v>7889</v>
      </c>
      <c r="P579" t="s">
        <v>7890</v>
      </c>
      <c r="Q579" t="s">
        <v>7891</v>
      </c>
      <c r="R579" t="s">
        <v>74</v>
      </c>
      <c r="S579" t="s">
        <v>74</v>
      </c>
      <c r="T579" t="s">
        <v>7923</v>
      </c>
      <c r="U579" t="s">
        <v>7924</v>
      </c>
      <c r="V579" t="s">
        <v>7925</v>
      </c>
      <c r="W579" t="s">
        <v>7926</v>
      </c>
      <c r="X579" t="s">
        <v>7927</v>
      </c>
      <c r="Y579" t="s">
        <v>7928</v>
      </c>
      <c r="Z579" t="s">
        <v>74</v>
      </c>
      <c r="AA579" t="s">
        <v>7929</v>
      </c>
      <c r="AB579" t="s">
        <v>7930</v>
      </c>
      <c r="AC579" t="s">
        <v>74</v>
      </c>
      <c r="AD579" t="s">
        <v>74</v>
      </c>
      <c r="AE579" t="s">
        <v>74</v>
      </c>
      <c r="AF579" t="s">
        <v>74</v>
      </c>
      <c r="AG579">
        <v>28</v>
      </c>
      <c r="AH579">
        <v>27</v>
      </c>
      <c r="AI579">
        <v>28</v>
      </c>
      <c r="AJ579">
        <v>1</v>
      </c>
      <c r="AK579">
        <v>6</v>
      </c>
      <c r="AL579" t="s">
        <v>1120</v>
      </c>
      <c r="AM579" t="s">
        <v>1121</v>
      </c>
      <c r="AN579" t="s">
        <v>2394</v>
      </c>
      <c r="AO579" t="s">
        <v>7901</v>
      </c>
      <c r="AP579" t="s">
        <v>74</v>
      </c>
      <c r="AQ579" t="s">
        <v>74</v>
      </c>
      <c r="AR579" t="s">
        <v>7903</v>
      </c>
      <c r="AS579" t="s">
        <v>7904</v>
      </c>
      <c r="AT579" t="s">
        <v>7461</v>
      </c>
      <c r="AU579">
        <v>2000</v>
      </c>
      <c r="AV579">
        <v>172</v>
      </c>
      <c r="AW579" t="s">
        <v>74</v>
      </c>
      <c r="AX579" t="s">
        <v>74</v>
      </c>
      <c r="AY579" t="s">
        <v>74</v>
      </c>
      <c r="AZ579" t="s">
        <v>74</v>
      </c>
      <c r="BA579" t="s">
        <v>74</v>
      </c>
      <c r="BB579">
        <v>847</v>
      </c>
      <c r="BC579">
        <v>855</v>
      </c>
      <c r="BD579" t="s">
        <v>74</v>
      </c>
      <c r="BE579" t="s">
        <v>7931</v>
      </c>
      <c r="BF579" t="str">
        <f>HYPERLINK("http://dx.doi.org/10.1016/S0168-583X(00)00281-0","http://dx.doi.org/10.1016/S0168-583X(00)00281-0")</f>
        <v>http://dx.doi.org/10.1016/S0168-583X(00)00281-0</v>
      </c>
      <c r="BG579" t="s">
        <v>74</v>
      </c>
      <c r="BH579" t="s">
        <v>74</v>
      </c>
      <c r="BI579">
        <v>9</v>
      </c>
      <c r="BJ579" t="s">
        <v>7906</v>
      </c>
      <c r="BK579" t="s">
        <v>596</v>
      </c>
      <c r="BL579" t="s">
        <v>7907</v>
      </c>
      <c r="BM579" t="s">
        <v>7908</v>
      </c>
      <c r="BN579" t="s">
        <v>74</v>
      </c>
      <c r="BO579" t="s">
        <v>74</v>
      </c>
      <c r="BP579" t="s">
        <v>74</v>
      </c>
      <c r="BQ579" t="s">
        <v>74</v>
      </c>
      <c r="BR579" t="s">
        <v>97</v>
      </c>
      <c r="BS579" t="s">
        <v>7932</v>
      </c>
      <c r="BT579" t="str">
        <f>HYPERLINK("https%3A%2F%2Fwww.webofscience.com%2Fwos%2Fwoscc%2Ffull-record%2FWOS:000165231000144","View Full Record in Web of Science")</f>
        <v>View Full Record in Web of Science</v>
      </c>
    </row>
    <row r="580" spans="1:72" x14ac:dyDescent="0.15">
      <c r="A580" t="s">
        <v>72</v>
      </c>
      <c r="B580" t="s">
        <v>7933</v>
      </c>
      <c r="C580" t="s">
        <v>74</v>
      </c>
      <c r="D580" t="s">
        <v>74</v>
      </c>
      <c r="E580" t="s">
        <v>74</v>
      </c>
      <c r="F580" t="s">
        <v>7933</v>
      </c>
      <c r="G580" t="s">
        <v>74</v>
      </c>
      <c r="H580" t="s">
        <v>74</v>
      </c>
      <c r="I580" t="s">
        <v>7934</v>
      </c>
      <c r="J580" t="s">
        <v>5918</v>
      </c>
      <c r="K580" t="s">
        <v>74</v>
      </c>
      <c r="L580" t="s">
        <v>74</v>
      </c>
      <c r="M580" t="s">
        <v>77</v>
      </c>
      <c r="N580" t="s">
        <v>78</v>
      </c>
      <c r="O580" t="s">
        <v>74</v>
      </c>
      <c r="P580" t="s">
        <v>74</v>
      </c>
      <c r="Q580" t="s">
        <v>74</v>
      </c>
      <c r="R580" t="s">
        <v>74</v>
      </c>
      <c r="S580" t="s">
        <v>74</v>
      </c>
      <c r="T580" t="s">
        <v>74</v>
      </c>
      <c r="U580" t="s">
        <v>7935</v>
      </c>
      <c r="V580" t="s">
        <v>7936</v>
      </c>
      <c r="W580" t="s">
        <v>7937</v>
      </c>
      <c r="X580" t="s">
        <v>7938</v>
      </c>
      <c r="Y580" t="s">
        <v>961</v>
      </c>
      <c r="Z580" t="s">
        <v>74</v>
      </c>
      <c r="AA580" t="s">
        <v>74</v>
      </c>
      <c r="AB580" t="s">
        <v>74</v>
      </c>
      <c r="AC580" t="s">
        <v>74</v>
      </c>
      <c r="AD580" t="s">
        <v>74</v>
      </c>
      <c r="AE580" t="s">
        <v>74</v>
      </c>
      <c r="AF580" t="s">
        <v>74</v>
      </c>
      <c r="AG580">
        <v>40</v>
      </c>
      <c r="AH580">
        <v>14</v>
      </c>
      <c r="AI580">
        <v>16</v>
      </c>
      <c r="AJ580">
        <v>0</v>
      </c>
      <c r="AK580">
        <v>0</v>
      </c>
      <c r="AL580" t="s">
        <v>5924</v>
      </c>
      <c r="AM580" t="s">
        <v>5925</v>
      </c>
      <c r="AN580" t="s">
        <v>5926</v>
      </c>
      <c r="AO580" t="s">
        <v>5927</v>
      </c>
      <c r="AP580" t="s">
        <v>74</v>
      </c>
      <c r="AQ580" t="s">
        <v>74</v>
      </c>
      <c r="AR580" t="s">
        <v>5918</v>
      </c>
      <c r="AS580" t="s">
        <v>5928</v>
      </c>
      <c r="AT580" t="s">
        <v>7461</v>
      </c>
      <c r="AU580">
        <v>2000</v>
      </c>
      <c r="AV580">
        <v>53</v>
      </c>
      <c r="AW580">
        <v>1</v>
      </c>
      <c r="AX580" t="s">
        <v>74</v>
      </c>
      <c r="AY580" t="s">
        <v>74</v>
      </c>
      <c r="AZ580" t="s">
        <v>74</v>
      </c>
      <c r="BA580" t="s">
        <v>74</v>
      </c>
      <c r="BB580">
        <v>37</v>
      </c>
      <c r="BC580">
        <v>54</v>
      </c>
      <c r="BD580" t="s">
        <v>74</v>
      </c>
      <c r="BE580" t="s">
        <v>7939</v>
      </c>
      <c r="BF580" t="str">
        <f>HYPERLINK("http://dx.doi.org/10.1080/00785326.2000.10409434","http://dx.doi.org/10.1080/00785326.2000.10409434")</f>
        <v>http://dx.doi.org/10.1080/00785326.2000.10409434</v>
      </c>
      <c r="BG580" t="s">
        <v>74</v>
      </c>
      <c r="BH580" t="s">
        <v>74</v>
      </c>
      <c r="BI580">
        <v>18</v>
      </c>
      <c r="BJ580" t="s">
        <v>1259</v>
      </c>
      <c r="BK580" t="s">
        <v>94</v>
      </c>
      <c r="BL580" t="s">
        <v>1259</v>
      </c>
      <c r="BM580" t="s">
        <v>7940</v>
      </c>
      <c r="BN580" t="s">
        <v>74</v>
      </c>
      <c r="BO580" t="s">
        <v>74</v>
      </c>
      <c r="BP580" t="s">
        <v>74</v>
      </c>
      <c r="BQ580" t="s">
        <v>74</v>
      </c>
      <c r="BR580" t="s">
        <v>97</v>
      </c>
      <c r="BS580" t="s">
        <v>7941</v>
      </c>
      <c r="BT580" t="str">
        <f>HYPERLINK("https%3A%2F%2Fwww.webofscience.com%2Fwos%2Fwoscc%2Ffull-record%2FWOS:000165262300004","View Full Record in Web of Science")</f>
        <v>View Full Record in Web of Science</v>
      </c>
    </row>
    <row r="581" spans="1:72" x14ac:dyDescent="0.15">
      <c r="A581" t="s">
        <v>72</v>
      </c>
      <c r="B581" t="s">
        <v>7942</v>
      </c>
      <c r="C581" t="s">
        <v>74</v>
      </c>
      <c r="D581" t="s">
        <v>74</v>
      </c>
      <c r="E581" t="s">
        <v>74</v>
      </c>
      <c r="F581" t="s">
        <v>7942</v>
      </c>
      <c r="G581" t="s">
        <v>74</v>
      </c>
      <c r="H581" t="s">
        <v>74</v>
      </c>
      <c r="I581" t="s">
        <v>7943</v>
      </c>
      <c r="J581" t="s">
        <v>3744</v>
      </c>
      <c r="K581" t="s">
        <v>74</v>
      </c>
      <c r="L581" t="s">
        <v>74</v>
      </c>
      <c r="M581" t="s">
        <v>77</v>
      </c>
      <c r="N581" t="s">
        <v>236</v>
      </c>
      <c r="O581" t="s">
        <v>74</v>
      </c>
      <c r="P581" t="s">
        <v>74</v>
      </c>
      <c r="Q581" t="s">
        <v>74</v>
      </c>
      <c r="R581" t="s">
        <v>74</v>
      </c>
      <c r="S581" t="s">
        <v>74</v>
      </c>
      <c r="T581" t="s">
        <v>74</v>
      </c>
      <c r="U581" t="s">
        <v>7944</v>
      </c>
      <c r="V581" t="s">
        <v>7945</v>
      </c>
      <c r="W581" t="s">
        <v>833</v>
      </c>
      <c r="X581" t="s">
        <v>221</v>
      </c>
      <c r="Y581" t="s">
        <v>961</v>
      </c>
      <c r="Z581" t="s">
        <v>74</v>
      </c>
      <c r="AA581" t="s">
        <v>74</v>
      </c>
      <c r="AB581" t="s">
        <v>74</v>
      </c>
      <c r="AC581" t="s">
        <v>74</v>
      </c>
      <c r="AD581" t="s">
        <v>74</v>
      </c>
      <c r="AE581" t="s">
        <v>74</v>
      </c>
      <c r="AF581" t="s">
        <v>74</v>
      </c>
      <c r="AG581">
        <v>126</v>
      </c>
      <c r="AH581">
        <v>63</v>
      </c>
      <c r="AI581">
        <v>75</v>
      </c>
      <c r="AJ581">
        <v>0</v>
      </c>
      <c r="AK581">
        <v>40</v>
      </c>
      <c r="AL581" t="s">
        <v>906</v>
      </c>
      <c r="AM581" t="s">
        <v>738</v>
      </c>
      <c r="AN581" t="s">
        <v>1253</v>
      </c>
      <c r="AO581" t="s">
        <v>3751</v>
      </c>
      <c r="AP581" t="s">
        <v>3752</v>
      </c>
      <c r="AQ581" t="s">
        <v>74</v>
      </c>
      <c r="AR581" t="s">
        <v>3753</v>
      </c>
      <c r="AS581" t="s">
        <v>3754</v>
      </c>
      <c r="AT581" t="s">
        <v>7461</v>
      </c>
      <c r="AU581">
        <v>2000</v>
      </c>
      <c r="AV581">
        <v>30</v>
      </c>
      <c r="AW581">
        <v>5</v>
      </c>
      <c r="AX581" t="s">
        <v>74</v>
      </c>
      <c r="AY581" t="s">
        <v>74</v>
      </c>
      <c r="AZ581" t="s">
        <v>74</v>
      </c>
      <c r="BA581" t="s">
        <v>74</v>
      </c>
      <c r="BB581">
        <v>467</v>
      </c>
      <c r="BC581">
        <v>499</v>
      </c>
      <c r="BD581" t="s">
        <v>74</v>
      </c>
      <c r="BE581" t="s">
        <v>7946</v>
      </c>
      <c r="BF581" t="str">
        <f>HYPERLINK("http://dx.doi.org/10.1023/A:1006765405786","http://dx.doi.org/10.1023/A:1006765405786")</f>
        <v>http://dx.doi.org/10.1023/A:1006765405786</v>
      </c>
      <c r="BG581" t="s">
        <v>74</v>
      </c>
      <c r="BH581" t="s">
        <v>74</v>
      </c>
      <c r="BI581">
        <v>33</v>
      </c>
      <c r="BJ581" t="s">
        <v>3757</v>
      </c>
      <c r="BK581" t="s">
        <v>94</v>
      </c>
      <c r="BL581" t="s">
        <v>3758</v>
      </c>
      <c r="BM581" t="s">
        <v>7947</v>
      </c>
      <c r="BN581">
        <v>11002893</v>
      </c>
      <c r="BO581" t="s">
        <v>74</v>
      </c>
      <c r="BP581" t="s">
        <v>74</v>
      </c>
      <c r="BQ581" t="s">
        <v>74</v>
      </c>
      <c r="BR581" t="s">
        <v>97</v>
      </c>
      <c r="BS581" t="s">
        <v>7948</v>
      </c>
      <c r="BT581" t="str">
        <f>HYPERLINK("https%3A%2F%2Fwww.webofscience.com%2Fwos%2Fwoscc%2Ffull-record%2FWOS:000089627400008","View Full Record in Web of Science")</f>
        <v>View Full Record in Web of Science</v>
      </c>
    </row>
    <row r="582" spans="1:72" x14ac:dyDescent="0.15">
      <c r="A582" t="s">
        <v>72</v>
      </c>
      <c r="B582" t="s">
        <v>7949</v>
      </c>
      <c r="C582" t="s">
        <v>74</v>
      </c>
      <c r="D582" t="s">
        <v>74</v>
      </c>
      <c r="E582" t="s">
        <v>74</v>
      </c>
      <c r="F582" t="s">
        <v>7949</v>
      </c>
      <c r="G582" t="s">
        <v>74</v>
      </c>
      <c r="H582" t="s">
        <v>74</v>
      </c>
      <c r="I582" t="s">
        <v>7950</v>
      </c>
      <c r="J582" t="s">
        <v>7951</v>
      </c>
      <c r="K582" t="s">
        <v>74</v>
      </c>
      <c r="L582" t="s">
        <v>74</v>
      </c>
      <c r="M582" t="s">
        <v>77</v>
      </c>
      <c r="N582" t="s">
        <v>78</v>
      </c>
      <c r="O582" t="s">
        <v>74</v>
      </c>
      <c r="P582" t="s">
        <v>74</v>
      </c>
      <c r="Q582" t="s">
        <v>74</v>
      </c>
      <c r="R582" t="s">
        <v>74</v>
      </c>
      <c r="S582" t="s">
        <v>74</v>
      </c>
      <c r="T582" t="s">
        <v>7952</v>
      </c>
      <c r="U582" t="s">
        <v>7953</v>
      </c>
      <c r="V582" t="s">
        <v>7954</v>
      </c>
      <c r="W582" t="s">
        <v>7955</v>
      </c>
      <c r="X582" t="s">
        <v>1250</v>
      </c>
      <c r="Y582" t="s">
        <v>7956</v>
      </c>
      <c r="Z582" t="s">
        <v>7957</v>
      </c>
      <c r="AA582" t="s">
        <v>74</v>
      </c>
      <c r="AB582" t="s">
        <v>74</v>
      </c>
      <c r="AC582" t="s">
        <v>74</v>
      </c>
      <c r="AD582" t="s">
        <v>74</v>
      </c>
      <c r="AE582" t="s">
        <v>74</v>
      </c>
      <c r="AF582" t="s">
        <v>74</v>
      </c>
      <c r="AG582">
        <v>79</v>
      </c>
      <c r="AH582">
        <v>213</v>
      </c>
      <c r="AI582">
        <v>230</v>
      </c>
      <c r="AJ582">
        <v>2</v>
      </c>
      <c r="AK582">
        <v>38</v>
      </c>
      <c r="AL582" t="s">
        <v>1823</v>
      </c>
      <c r="AM582" t="s">
        <v>1121</v>
      </c>
      <c r="AN582" t="s">
        <v>1824</v>
      </c>
      <c r="AO582" t="s">
        <v>7958</v>
      </c>
      <c r="AP582" t="s">
        <v>7959</v>
      </c>
      <c r="AQ582" t="s">
        <v>74</v>
      </c>
      <c r="AR582" t="s">
        <v>7960</v>
      </c>
      <c r="AS582" t="s">
        <v>7961</v>
      </c>
      <c r="AT582" t="s">
        <v>7461</v>
      </c>
      <c r="AU582">
        <v>2000</v>
      </c>
      <c r="AV582">
        <v>162</v>
      </c>
      <c r="AW582" t="s">
        <v>1046</v>
      </c>
      <c r="AX582" t="s">
        <v>74</v>
      </c>
      <c r="AY582" t="s">
        <v>74</v>
      </c>
      <c r="AZ582" t="s">
        <v>74</v>
      </c>
      <c r="BA582" t="s">
        <v>74</v>
      </c>
      <c r="BB582">
        <v>263</v>
      </c>
      <c r="BC582">
        <v>286</v>
      </c>
      <c r="BD582" t="s">
        <v>74</v>
      </c>
      <c r="BE582" t="s">
        <v>7962</v>
      </c>
      <c r="BF582" t="str">
        <f>HYPERLINK("http://dx.doi.org/10.1016/S0031-0182(00)00131-0","http://dx.doi.org/10.1016/S0031-0182(00)00131-0")</f>
        <v>http://dx.doi.org/10.1016/S0031-0182(00)00131-0</v>
      </c>
      <c r="BG582" t="s">
        <v>74</v>
      </c>
      <c r="BH582" t="s">
        <v>74</v>
      </c>
      <c r="BI582">
        <v>24</v>
      </c>
      <c r="BJ582" t="s">
        <v>7963</v>
      </c>
      <c r="BK582" t="s">
        <v>94</v>
      </c>
      <c r="BL582" t="s">
        <v>7964</v>
      </c>
      <c r="BM582" t="s">
        <v>7965</v>
      </c>
      <c r="BN582" t="s">
        <v>74</v>
      </c>
      <c r="BO582" t="s">
        <v>74</v>
      </c>
      <c r="BP582" t="s">
        <v>74</v>
      </c>
      <c r="BQ582" t="s">
        <v>74</v>
      </c>
      <c r="BR582" t="s">
        <v>97</v>
      </c>
      <c r="BS582" t="s">
        <v>7966</v>
      </c>
      <c r="BT582" t="str">
        <f>HYPERLINK("https%3A%2F%2Fwww.webofscience.com%2Fwos%2Fwoscc%2Ffull-record%2FWOS:000089654300004","View Full Record in Web of Science")</f>
        <v>View Full Record in Web of Science</v>
      </c>
    </row>
    <row r="583" spans="1:72" x14ac:dyDescent="0.15">
      <c r="A583" t="s">
        <v>72</v>
      </c>
      <c r="B583" t="s">
        <v>7967</v>
      </c>
      <c r="C583" t="s">
        <v>74</v>
      </c>
      <c r="D583" t="s">
        <v>74</v>
      </c>
      <c r="E583" t="s">
        <v>74</v>
      </c>
      <c r="F583" t="s">
        <v>7967</v>
      </c>
      <c r="G583" t="s">
        <v>74</v>
      </c>
      <c r="H583" t="s">
        <v>74</v>
      </c>
      <c r="I583" t="s">
        <v>7968</v>
      </c>
      <c r="J583" t="s">
        <v>7951</v>
      </c>
      <c r="K583" t="s">
        <v>74</v>
      </c>
      <c r="L583" t="s">
        <v>74</v>
      </c>
      <c r="M583" t="s">
        <v>77</v>
      </c>
      <c r="N583" t="s">
        <v>78</v>
      </c>
      <c r="O583" t="s">
        <v>74</v>
      </c>
      <c r="P583" t="s">
        <v>74</v>
      </c>
      <c r="Q583" t="s">
        <v>74</v>
      </c>
      <c r="R583" t="s">
        <v>74</v>
      </c>
      <c r="S583" t="s">
        <v>74</v>
      </c>
      <c r="T583" t="s">
        <v>7969</v>
      </c>
      <c r="U583" t="s">
        <v>7970</v>
      </c>
      <c r="V583" t="s">
        <v>7971</v>
      </c>
      <c r="W583" t="s">
        <v>7972</v>
      </c>
      <c r="X583" t="s">
        <v>7973</v>
      </c>
      <c r="Y583" t="s">
        <v>7974</v>
      </c>
      <c r="Z583" t="s">
        <v>74</v>
      </c>
      <c r="AA583" t="s">
        <v>7975</v>
      </c>
      <c r="AB583" t="s">
        <v>7976</v>
      </c>
      <c r="AC583" t="s">
        <v>74</v>
      </c>
      <c r="AD583" t="s">
        <v>74</v>
      </c>
      <c r="AE583" t="s">
        <v>74</v>
      </c>
      <c r="AF583" t="s">
        <v>74</v>
      </c>
      <c r="AG583">
        <v>81</v>
      </c>
      <c r="AH583">
        <v>79</v>
      </c>
      <c r="AI583">
        <v>83</v>
      </c>
      <c r="AJ583">
        <v>2</v>
      </c>
      <c r="AK583">
        <v>22</v>
      </c>
      <c r="AL583" t="s">
        <v>1823</v>
      </c>
      <c r="AM583" t="s">
        <v>1121</v>
      </c>
      <c r="AN583" t="s">
        <v>1824</v>
      </c>
      <c r="AO583" t="s">
        <v>7958</v>
      </c>
      <c r="AP583" t="s">
        <v>7959</v>
      </c>
      <c r="AQ583" t="s">
        <v>74</v>
      </c>
      <c r="AR583" t="s">
        <v>7960</v>
      </c>
      <c r="AS583" t="s">
        <v>7961</v>
      </c>
      <c r="AT583" t="s">
        <v>7461</v>
      </c>
      <c r="AU583">
        <v>2000</v>
      </c>
      <c r="AV583">
        <v>162</v>
      </c>
      <c r="AW583" t="s">
        <v>1046</v>
      </c>
      <c r="AX583" t="s">
        <v>74</v>
      </c>
      <c r="AY583" t="s">
        <v>74</v>
      </c>
      <c r="AZ583" t="s">
        <v>74</v>
      </c>
      <c r="BA583" t="s">
        <v>74</v>
      </c>
      <c r="BB583">
        <v>333</v>
      </c>
      <c r="BC583">
        <v>356</v>
      </c>
      <c r="BD583" t="s">
        <v>74</v>
      </c>
      <c r="BE583" t="s">
        <v>7977</v>
      </c>
      <c r="BF583" t="str">
        <f>HYPERLINK("http://dx.doi.org/10.1016/S0031-0182(00)00137-1","http://dx.doi.org/10.1016/S0031-0182(00)00137-1")</f>
        <v>http://dx.doi.org/10.1016/S0031-0182(00)00137-1</v>
      </c>
      <c r="BG583" t="s">
        <v>74</v>
      </c>
      <c r="BH583" t="s">
        <v>74</v>
      </c>
      <c r="BI583">
        <v>24</v>
      </c>
      <c r="BJ583" t="s">
        <v>7963</v>
      </c>
      <c r="BK583" t="s">
        <v>94</v>
      </c>
      <c r="BL583" t="s">
        <v>7964</v>
      </c>
      <c r="BM583" t="s">
        <v>7965</v>
      </c>
      <c r="BN583" t="s">
        <v>74</v>
      </c>
      <c r="BO583" t="s">
        <v>74</v>
      </c>
      <c r="BP583" t="s">
        <v>74</v>
      </c>
      <c r="BQ583" t="s">
        <v>74</v>
      </c>
      <c r="BR583" t="s">
        <v>97</v>
      </c>
      <c r="BS583" t="s">
        <v>7978</v>
      </c>
      <c r="BT583" t="str">
        <f>HYPERLINK("https%3A%2F%2Fwww.webofscience.com%2Fwos%2Fwoscc%2Ffull-record%2FWOS:000089654300008","View Full Record in Web of Science")</f>
        <v>View Full Record in Web of Science</v>
      </c>
    </row>
    <row r="584" spans="1:72" x14ac:dyDescent="0.15">
      <c r="A584" t="s">
        <v>72</v>
      </c>
      <c r="B584" t="s">
        <v>7979</v>
      </c>
      <c r="C584" t="s">
        <v>74</v>
      </c>
      <c r="D584" t="s">
        <v>74</v>
      </c>
      <c r="E584" t="s">
        <v>74</v>
      </c>
      <c r="F584" t="s">
        <v>7979</v>
      </c>
      <c r="G584" t="s">
        <v>74</v>
      </c>
      <c r="H584" t="s">
        <v>74</v>
      </c>
      <c r="I584" t="s">
        <v>7980</v>
      </c>
      <c r="J584" t="s">
        <v>7951</v>
      </c>
      <c r="K584" t="s">
        <v>74</v>
      </c>
      <c r="L584" t="s">
        <v>74</v>
      </c>
      <c r="M584" t="s">
        <v>77</v>
      </c>
      <c r="N584" t="s">
        <v>236</v>
      </c>
      <c r="O584" t="s">
        <v>74</v>
      </c>
      <c r="P584" t="s">
        <v>74</v>
      </c>
      <c r="Q584" t="s">
        <v>74</v>
      </c>
      <c r="R584" t="s">
        <v>74</v>
      </c>
      <c r="S584" t="s">
        <v>74</v>
      </c>
      <c r="T584" t="s">
        <v>7981</v>
      </c>
      <c r="U584" t="s">
        <v>7982</v>
      </c>
      <c r="V584" t="s">
        <v>7983</v>
      </c>
      <c r="W584" t="s">
        <v>7984</v>
      </c>
      <c r="X584" t="s">
        <v>7985</v>
      </c>
      <c r="Y584" t="s">
        <v>7986</v>
      </c>
      <c r="Z584" t="s">
        <v>7987</v>
      </c>
      <c r="AA584" t="s">
        <v>74</v>
      </c>
      <c r="AB584" t="s">
        <v>7988</v>
      </c>
      <c r="AC584" t="s">
        <v>74</v>
      </c>
      <c r="AD584" t="s">
        <v>74</v>
      </c>
      <c r="AE584" t="s">
        <v>74</v>
      </c>
      <c r="AF584" t="s">
        <v>74</v>
      </c>
      <c r="AG584">
        <v>131</v>
      </c>
      <c r="AH584">
        <v>75</v>
      </c>
      <c r="AI584">
        <v>80</v>
      </c>
      <c r="AJ584">
        <v>1</v>
      </c>
      <c r="AK584">
        <v>15</v>
      </c>
      <c r="AL584" t="s">
        <v>1823</v>
      </c>
      <c r="AM584" t="s">
        <v>1121</v>
      </c>
      <c r="AN584" t="s">
        <v>1824</v>
      </c>
      <c r="AO584" t="s">
        <v>7958</v>
      </c>
      <c r="AP584" t="s">
        <v>7959</v>
      </c>
      <c r="AQ584" t="s">
        <v>74</v>
      </c>
      <c r="AR584" t="s">
        <v>7960</v>
      </c>
      <c r="AS584" t="s">
        <v>7961</v>
      </c>
      <c r="AT584" t="s">
        <v>7461</v>
      </c>
      <c r="AU584">
        <v>2000</v>
      </c>
      <c r="AV584">
        <v>162</v>
      </c>
      <c r="AW584" t="s">
        <v>1046</v>
      </c>
      <c r="AX584" t="s">
        <v>74</v>
      </c>
      <c r="AY584" t="s">
        <v>74</v>
      </c>
      <c r="AZ584" t="s">
        <v>74</v>
      </c>
      <c r="BA584" t="s">
        <v>74</v>
      </c>
      <c r="BB584">
        <v>357</v>
      </c>
      <c r="BC584">
        <v>387</v>
      </c>
      <c r="BD584" t="s">
        <v>74</v>
      </c>
      <c r="BE584" t="s">
        <v>7989</v>
      </c>
      <c r="BF584" t="str">
        <f>HYPERLINK("http://dx.doi.org/10.1016/S0031-0182(00)00138-3","http://dx.doi.org/10.1016/S0031-0182(00)00138-3")</f>
        <v>http://dx.doi.org/10.1016/S0031-0182(00)00138-3</v>
      </c>
      <c r="BG584" t="s">
        <v>74</v>
      </c>
      <c r="BH584" t="s">
        <v>74</v>
      </c>
      <c r="BI584">
        <v>31</v>
      </c>
      <c r="BJ584" t="s">
        <v>7963</v>
      </c>
      <c r="BK584" t="s">
        <v>94</v>
      </c>
      <c r="BL584" t="s">
        <v>7964</v>
      </c>
      <c r="BM584" t="s">
        <v>7965</v>
      </c>
      <c r="BN584" t="s">
        <v>74</v>
      </c>
      <c r="BO584" t="s">
        <v>74</v>
      </c>
      <c r="BP584" t="s">
        <v>74</v>
      </c>
      <c r="BQ584" t="s">
        <v>74</v>
      </c>
      <c r="BR584" t="s">
        <v>97</v>
      </c>
      <c r="BS584" t="s">
        <v>7990</v>
      </c>
      <c r="BT584" t="str">
        <f>HYPERLINK("https%3A%2F%2Fwww.webofscience.com%2Fwos%2Fwoscc%2Ffull-record%2FWOS:000089654300009","View Full Record in Web of Science")</f>
        <v>View Full Record in Web of Science</v>
      </c>
    </row>
    <row r="585" spans="1:72" x14ac:dyDescent="0.15">
      <c r="A585" t="s">
        <v>72</v>
      </c>
      <c r="B585" t="s">
        <v>7991</v>
      </c>
      <c r="C585" t="s">
        <v>74</v>
      </c>
      <c r="D585" t="s">
        <v>74</v>
      </c>
      <c r="E585" t="s">
        <v>74</v>
      </c>
      <c r="F585" t="s">
        <v>7991</v>
      </c>
      <c r="G585" t="s">
        <v>74</v>
      </c>
      <c r="H585" t="s">
        <v>74</v>
      </c>
      <c r="I585" t="s">
        <v>7992</v>
      </c>
      <c r="J585" t="s">
        <v>5934</v>
      </c>
      <c r="K585" t="s">
        <v>74</v>
      </c>
      <c r="L585" t="s">
        <v>74</v>
      </c>
      <c r="M585" t="s">
        <v>77</v>
      </c>
      <c r="N585" t="s">
        <v>78</v>
      </c>
      <c r="O585" t="s">
        <v>74</v>
      </c>
      <c r="P585" t="s">
        <v>74</v>
      </c>
      <c r="Q585" t="s">
        <v>74</v>
      </c>
      <c r="R585" t="s">
        <v>74</v>
      </c>
      <c r="S585" t="s">
        <v>74</v>
      </c>
      <c r="T585" t="s">
        <v>74</v>
      </c>
      <c r="U585" t="s">
        <v>7993</v>
      </c>
      <c r="V585" t="s">
        <v>7994</v>
      </c>
      <c r="W585" t="s">
        <v>7995</v>
      </c>
      <c r="X585" t="s">
        <v>7996</v>
      </c>
      <c r="Y585" t="s">
        <v>7997</v>
      </c>
      <c r="Z585" t="s">
        <v>74</v>
      </c>
      <c r="AA585" t="s">
        <v>7998</v>
      </c>
      <c r="AB585" t="s">
        <v>7999</v>
      </c>
      <c r="AC585" t="s">
        <v>74</v>
      </c>
      <c r="AD585" t="s">
        <v>74</v>
      </c>
      <c r="AE585" t="s">
        <v>74</v>
      </c>
      <c r="AF585" t="s">
        <v>74</v>
      </c>
      <c r="AG585">
        <v>60</v>
      </c>
      <c r="AH585">
        <v>104</v>
      </c>
      <c r="AI585">
        <v>120</v>
      </c>
      <c r="AJ585">
        <v>0</v>
      </c>
      <c r="AK585">
        <v>31</v>
      </c>
      <c r="AL585" t="s">
        <v>1059</v>
      </c>
      <c r="AM585" t="s">
        <v>1060</v>
      </c>
      <c r="AN585" t="s">
        <v>1061</v>
      </c>
      <c r="AO585" t="s">
        <v>5940</v>
      </c>
      <c r="AP585" t="s">
        <v>74</v>
      </c>
      <c r="AQ585" t="s">
        <v>74</v>
      </c>
      <c r="AR585" t="s">
        <v>5934</v>
      </c>
      <c r="AS585" t="s">
        <v>5941</v>
      </c>
      <c r="AT585" t="s">
        <v>7461</v>
      </c>
      <c r="AU585">
        <v>2000</v>
      </c>
      <c r="AV585">
        <v>15</v>
      </c>
      <c r="AW585">
        <v>5</v>
      </c>
      <c r="AX585" t="s">
        <v>74</v>
      </c>
      <c r="AY585" t="s">
        <v>74</v>
      </c>
      <c r="AZ585" t="s">
        <v>74</v>
      </c>
      <c r="BA585" t="s">
        <v>74</v>
      </c>
      <c r="BB585">
        <v>471</v>
      </c>
      <c r="BC585">
        <v>485</v>
      </c>
      <c r="BD585" t="s">
        <v>74</v>
      </c>
      <c r="BE585" t="s">
        <v>8000</v>
      </c>
      <c r="BF585" t="str">
        <f>HYPERLINK("http://dx.doi.org/10.1029/1999PA000443","http://dx.doi.org/10.1029/1999PA000443")</f>
        <v>http://dx.doi.org/10.1029/1999PA000443</v>
      </c>
      <c r="BG585" t="s">
        <v>74</v>
      </c>
      <c r="BH585" t="s">
        <v>74</v>
      </c>
      <c r="BI585">
        <v>15</v>
      </c>
      <c r="BJ585" t="s">
        <v>5943</v>
      </c>
      <c r="BK585" t="s">
        <v>94</v>
      </c>
      <c r="BL585" t="s">
        <v>5944</v>
      </c>
      <c r="BM585" t="s">
        <v>8001</v>
      </c>
      <c r="BN585" t="s">
        <v>74</v>
      </c>
      <c r="BO585" t="s">
        <v>2097</v>
      </c>
      <c r="BP585" t="s">
        <v>74</v>
      </c>
      <c r="BQ585" t="s">
        <v>74</v>
      </c>
      <c r="BR585" t="s">
        <v>97</v>
      </c>
      <c r="BS585" t="s">
        <v>8002</v>
      </c>
      <c r="BT585" t="str">
        <f>HYPERLINK("https%3A%2F%2Fwww.webofscience.com%2Fwos%2Fwoscc%2Ffull-record%2FWOS:000089581200001","View Full Record in Web of Science")</f>
        <v>View Full Record in Web of Science</v>
      </c>
    </row>
    <row r="586" spans="1:72" x14ac:dyDescent="0.15">
      <c r="A586" t="s">
        <v>72</v>
      </c>
      <c r="B586" t="s">
        <v>8003</v>
      </c>
      <c r="C586" t="s">
        <v>74</v>
      </c>
      <c r="D586" t="s">
        <v>74</v>
      </c>
      <c r="E586" t="s">
        <v>74</v>
      </c>
      <c r="F586" t="s">
        <v>8003</v>
      </c>
      <c r="G586" t="s">
        <v>74</v>
      </c>
      <c r="H586" t="s">
        <v>74</v>
      </c>
      <c r="I586" t="s">
        <v>8004</v>
      </c>
      <c r="J586" t="s">
        <v>5934</v>
      </c>
      <c r="K586" t="s">
        <v>74</v>
      </c>
      <c r="L586" t="s">
        <v>74</v>
      </c>
      <c r="M586" t="s">
        <v>77</v>
      </c>
      <c r="N586" t="s">
        <v>78</v>
      </c>
      <c r="O586" t="s">
        <v>74</v>
      </c>
      <c r="P586" t="s">
        <v>74</v>
      </c>
      <c r="Q586" t="s">
        <v>74</v>
      </c>
      <c r="R586" t="s">
        <v>74</v>
      </c>
      <c r="S586" t="s">
        <v>74</v>
      </c>
      <c r="T586" t="s">
        <v>74</v>
      </c>
      <c r="U586" t="s">
        <v>8005</v>
      </c>
      <c r="V586" t="s">
        <v>8006</v>
      </c>
      <c r="W586" t="s">
        <v>8007</v>
      </c>
      <c r="X586" t="s">
        <v>8008</v>
      </c>
      <c r="Y586" t="s">
        <v>8009</v>
      </c>
      <c r="Z586" t="s">
        <v>74</v>
      </c>
      <c r="AA586" t="s">
        <v>8010</v>
      </c>
      <c r="AB586" t="s">
        <v>8011</v>
      </c>
      <c r="AC586" t="s">
        <v>74</v>
      </c>
      <c r="AD586" t="s">
        <v>74</v>
      </c>
      <c r="AE586" t="s">
        <v>74</v>
      </c>
      <c r="AF586" t="s">
        <v>74</v>
      </c>
      <c r="AG586">
        <v>55</v>
      </c>
      <c r="AH586">
        <v>43</v>
      </c>
      <c r="AI586">
        <v>45</v>
      </c>
      <c r="AJ586">
        <v>0</v>
      </c>
      <c r="AK586">
        <v>9</v>
      </c>
      <c r="AL586" t="s">
        <v>1059</v>
      </c>
      <c r="AM586" t="s">
        <v>1060</v>
      </c>
      <c r="AN586" t="s">
        <v>1061</v>
      </c>
      <c r="AO586" t="s">
        <v>5940</v>
      </c>
      <c r="AP586" t="s">
        <v>74</v>
      </c>
      <c r="AQ586" t="s">
        <v>74</v>
      </c>
      <c r="AR586" t="s">
        <v>5934</v>
      </c>
      <c r="AS586" t="s">
        <v>5941</v>
      </c>
      <c r="AT586" t="s">
        <v>7461</v>
      </c>
      <c r="AU586">
        <v>2000</v>
      </c>
      <c r="AV586">
        <v>15</v>
      </c>
      <c r="AW586">
        <v>5</v>
      </c>
      <c r="AX586" t="s">
        <v>74</v>
      </c>
      <c r="AY586" t="s">
        <v>74</v>
      </c>
      <c r="AZ586" t="s">
        <v>74</v>
      </c>
      <c r="BA586" t="s">
        <v>74</v>
      </c>
      <c r="BB586">
        <v>486</v>
      </c>
      <c r="BC586">
        <v>496</v>
      </c>
      <c r="BD586" t="s">
        <v>74</v>
      </c>
      <c r="BE586" t="s">
        <v>8012</v>
      </c>
      <c r="BF586" t="str">
        <f>HYPERLINK("http://dx.doi.org/10.1029/1999PA000484","http://dx.doi.org/10.1029/1999PA000484")</f>
        <v>http://dx.doi.org/10.1029/1999PA000484</v>
      </c>
      <c r="BG586" t="s">
        <v>74</v>
      </c>
      <c r="BH586" t="s">
        <v>74</v>
      </c>
      <c r="BI586">
        <v>11</v>
      </c>
      <c r="BJ586" t="s">
        <v>5943</v>
      </c>
      <c r="BK586" t="s">
        <v>94</v>
      </c>
      <c r="BL586" t="s">
        <v>5944</v>
      </c>
      <c r="BM586" t="s">
        <v>8001</v>
      </c>
      <c r="BN586" t="s">
        <v>74</v>
      </c>
      <c r="BO586" t="s">
        <v>1755</v>
      </c>
      <c r="BP586" t="s">
        <v>74</v>
      </c>
      <c r="BQ586" t="s">
        <v>74</v>
      </c>
      <c r="BR586" t="s">
        <v>97</v>
      </c>
      <c r="BS586" t="s">
        <v>8013</v>
      </c>
      <c r="BT586" t="str">
        <f>HYPERLINK("https%3A%2F%2Fwww.webofscience.com%2Fwos%2Fwoscc%2Ffull-record%2FWOS:000089581200002","View Full Record in Web of Science")</f>
        <v>View Full Record in Web of Science</v>
      </c>
    </row>
    <row r="587" spans="1:72" x14ac:dyDescent="0.15">
      <c r="A587" t="s">
        <v>72</v>
      </c>
      <c r="B587" t="s">
        <v>8014</v>
      </c>
      <c r="C587" t="s">
        <v>74</v>
      </c>
      <c r="D587" t="s">
        <v>74</v>
      </c>
      <c r="E587" t="s">
        <v>74</v>
      </c>
      <c r="F587" t="s">
        <v>8014</v>
      </c>
      <c r="G587" t="s">
        <v>74</v>
      </c>
      <c r="H587" t="s">
        <v>74</v>
      </c>
      <c r="I587" t="s">
        <v>8015</v>
      </c>
      <c r="J587" t="s">
        <v>5934</v>
      </c>
      <c r="K587" t="s">
        <v>74</v>
      </c>
      <c r="L587" t="s">
        <v>74</v>
      </c>
      <c r="M587" t="s">
        <v>77</v>
      </c>
      <c r="N587" t="s">
        <v>78</v>
      </c>
      <c r="O587" t="s">
        <v>74</v>
      </c>
      <c r="P587" t="s">
        <v>74</v>
      </c>
      <c r="Q587" t="s">
        <v>74</v>
      </c>
      <c r="R587" t="s">
        <v>74</v>
      </c>
      <c r="S587" t="s">
        <v>74</v>
      </c>
      <c r="T587" t="s">
        <v>74</v>
      </c>
      <c r="U587" t="s">
        <v>8016</v>
      </c>
      <c r="V587" t="s">
        <v>8017</v>
      </c>
      <c r="W587" t="s">
        <v>8018</v>
      </c>
      <c r="X587" t="s">
        <v>8019</v>
      </c>
      <c r="Y587" t="s">
        <v>8020</v>
      </c>
      <c r="Z587" t="s">
        <v>74</v>
      </c>
      <c r="AA587" t="s">
        <v>74</v>
      </c>
      <c r="AB587" t="s">
        <v>74</v>
      </c>
      <c r="AC587" t="s">
        <v>74</v>
      </c>
      <c r="AD587" t="s">
        <v>74</v>
      </c>
      <c r="AE587" t="s">
        <v>74</v>
      </c>
      <c r="AF587" t="s">
        <v>74</v>
      </c>
      <c r="AG587">
        <v>65</v>
      </c>
      <c r="AH587">
        <v>29</v>
      </c>
      <c r="AI587">
        <v>32</v>
      </c>
      <c r="AJ587">
        <v>0</v>
      </c>
      <c r="AK587">
        <v>6</v>
      </c>
      <c r="AL587" t="s">
        <v>1059</v>
      </c>
      <c r="AM587" t="s">
        <v>1060</v>
      </c>
      <c r="AN587" t="s">
        <v>1061</v>
      </c>
      <c r="AO587" t="s">
        <v>5940</v>
      </c>
      <c r="AP587" t="s">
        <v>74</v>
      </c>
      <c r="AQ587" t="s">
        <v>74</v>
      </c>
      <c r="AR587" t="s">
        <v>5934</v>
      </c>
      <c r="AS587" t="s">
        <v>5941</v>
      </c>
      <c r="AT587" t="s">
        <v>7461</v>
      </c>
      <c r="AU587">
        <v>2000</v>
      </c>
      <c r="AV587">
        <v>15</v>
      </c>
      <c r="AW587">
        <v>5</v>
      </c>
      <c r="AX587" t="s">
        <v>74</v>
      </c>
      <c r="AY587" t="s">
        <v>74</v>
      </c>
      <c r="AZ587" t="s">
        <v>74</v>
      </c>
      <c r="BA587" t="s">
        <v>74</v>
      </c>
      <c r="BB587">
        <v>515</v>
      </c>
      <c r="BC587">
        <v>527</v>
      </c>
      <c r="BD587" t="s">
        <v>74</v>
      </c>
      <c r="BE587" t="s">
        <v>8021</v>
      </c>
      <c r="BF587" t="str">
        <f>HYPERLINK("http://dx.doi.org/10.1029/1999PA000467","http://dx.doi.org/10.1029/1999PA000467")</f>
        <v>http://dx.doi.org/10.1029/1999PA000467</v>
      </c>
      <c r="BG587" t="s">
        <v>74</v>
      </c>
      <c r="BH587" t="s">
        <v>74</v>
      </c>
      <c r="BI587">
        <v>13</v>
      </c>
      <c r="BJ587" t="s">
        <v>5943</v>
      </c>
      <c r="BK587" t="s">
        <v>94</v>
      </c>
      <c r="BL587" t="s">
        <v>5944</v>
      </c>
      <c r="BM587" t="s">
        <v>8001</v>
      </c>
      <c r="BN587" t="s">
        <v>74</v>
      </c>
      <c r="BO587" t="s">
        <v>2097</v>
      </c>
      <c r="BP587" t="s">
        <v>74</v>
      </c>
      <c r="BQ587" t="s">
        <v>74</v>
      </c>
      <c r="BR587" t="s">
        <v>97</v>
      </c>
      <c r="BS587" t="s">
        <v>8022</v>
      </c>
      <c r="BT587" t="str">
        <f>HYPERLINK("https%3A%2F%2Fwww.webofscience.com%2Fwos%2Fwoscc%2Ffull-record%2FWOS:000089581200005","View Full Record in Web of Science")</f>
        <v>View Full Record in Web of Science</v>
      </c>
    </row>
    <row r="588" spans="1:72" x14ac:dyDescent="0.15">
      <c r="A588" t="s">
        <v>72</v>
      </c>
      <c r="B588" t="s">
        <v>8023</v>
      </c>
      <c r="C588" t="s">
        <v>74</v>
      </c>
      <c r="D588" t="s">
        <v>74</v>
      </c>
      <c r="E588" t="s">
        <v>74</v>
      </c>
      <c r="F588" t="s">
        <v>8023</v>
      </c>
      <c r="G588" t="s">
        <v>74</v>
      </c>
      <c r="H588" t="s">
        <v>74</v>
      </c>
      <c r="I588" t="s">
        <v>8024</v>
      </c>
      <c r="J588" t="s">
        <v>8025</v>
      </c>
      <c r="K588" t="s">
        <v>74</v>
      </c>
      <c r="L588" t="s">
        <v>74</v>
      </c>
      <c r="M588" t="s">
        <v>77</v>
      </c>
      <c r="N588" t="s">
        <v>78</v>
      </c>
      <c r="O588" t="s">
        <v>74</v>
      </c>
      <c r="P588" t="s">
        <v>74</v>
      </c>
      <c r="Q588" t="s">
        <v>74</v>
      </c>
      <c r="R588" t="s">
        <v>74</v>
      </c>
      <c r="S588" t="s">
        <v>74</v>
      </c>
      <c r="T588" t="s">
        <v>8026</v>
      </c>
      <c r="U588" t="s">
        <v>8027</v>
      </c>
      <c r="V588" t="s">
        <v>8028</v>
      </c>
      <c r="W588" t="s">
        <v>8029</v>
      </c>
      <c r="X588" t="s">
        <v>8030</v>
      </c>
      <c r="Y588" t="s">
        <v>8031</v>
      </c>
      <c r="Z588" t="s">
        <v>74</v>
      </c>
      <c r="AA588" t="s">
        <v>74</v>
      </c>
      <c r="AB588" t="s">
        <v>74</v>
      </c>
      <c r="AC588" t="s">
        <v>74</v>
      </c>
      <c r="AD588" t="s">
        <v>74</v>
      </c>
      <c r="AE588" t="s">
        <v>74</v>
      </c>
      <c r="AF588" t="s">
        <v>74</v>
      </c>
      <c r="AG588">
        <v>63</v>
      </c>
      <c r="AH588">
        <v>21</v>
      </c>
      <c r="AI588">
        <v>23</v>
      </c>
      <c r="AJ588">
        <v>0</v>
      </c>
      <c r="AK588">
        <v>8</v>
      </c>
      <c r="AL588" t="s">
        <v>245</v>
      </c>
      <c r="AM588" t="s">
        <v>246</v>
      </c>
      <c r="AN588" t="s">
        <v>247</v>
      </c>
      <c r="AO588" t="s">
        <v>8032</v>
      </c>
      <c r="AP588" t="s">
        <v>74</v>
      </c>
      <c r="AQ588" t="s">
        <v>74</v>
      </c>
      <c r="AR588" t="s">
        <v>8033</v>
      </c>
      <c r="AS588" t="s">
        <v>8034</v>
      </c>
      <c r="AT588" t="s">
        <v>7461</v>
      </c>
      <c r="AU588">
        <v>2000</v>
      </c>
      <c r="AV588">
        <v>29</v>
      </c>
      <c r="AW588">
        <v>4</v>
      </c>
      <c r="AX588" t="s">
        <v>74</v>
      </c>
      <c r="AY588" t="s">
        <v>74</v>
      </c>
      <c r="AZ588" t="s">
        <v>74</v>
      </c>
      <c r="BA588" t="s">
        <v>74</v>
      </c>
      <c r="BB588">
        <v>709</v>
      </c>
      <c r="BC588">
        <v>727</v>
      </c>
      <c r="BD588" t="s">
        <v>74</v>
      </c>
      <c r="BE588" t="s">
        <v>8035</v>
      </c>
      <c r="BF588" t="str">
        <f>HYPERLINK("http://dx.doi.org/10.1016/S0191-8869(99)00227-5","http://dx.doi.org/10.1016/S0191-8869(99)00227-5")</f>
        <v>http://dx.doi.org/10.1016/S0191-8869(99)00227-5</v>
      </c>
      <c r="BG588" t="s">
        <v>74</v>
      </c>
      <c r="BH588" t="s">
        <v>74</v>
      </c>
      <c r="BI588">
        <v>19</v>
      </c>
      <c r="BJ588" t="s">
        <v>8036</v>
      </c>
      <c r="BK588" t="s">
        <v>657</v>
      </c>
      <c r="BL588" t="s">
        <v>8037</v>
      </c>
      <c r="BM588" t="s">
        <v>8038</v>
      </c>
      <c r="BN588" t="s">
        <v>74</v>
      </c>
      <c r="BO588" t="s">
        <v>74</v>
      </c>
      <c r="BP588" t="s">
        <v>74</v>
      </c>
      <c r="BQ588" t="s">
        <v>74</v>
      </c>
      <c r="BR588" t="s">
        <v>97</v>
      </c>
      <c r="BS588" t="s">
        <v>8039</v>
      </c>
      <c r="BT588" t="str">
        <f>HYPERLINK("https%3A%2F%2Fwww.webofscience.com%2Fwos%2Fwoscc%2Ffull-record%2FWOS:000088715100009","View Full Record in Web of Science")</f>
        <v>View Full Record in Web of Science</v>
      </c>
    </row>
    <row r="589" spans="1:72" x14ac:dyDescent="0.15">
      <c r="A589" t="s">
        <v>72</v>
      </c>
      <c r="B589" t="s">
        <v>8040</v>
      </c>
      <c r="C589" t="s">
        <v>74</v>
      </c>
      <c r="D589" t="s">
        <v>74</v>
      </c>
      <c r="E589" t="s">
        <v>74</v>
      </c>
      <c r="F589" t="s">
        <v>8040</v>
      </c>
      <c r="G589" t="s">
        <v>74</v>
      </c>
      <c r="H589" t="s">
        <v>74</v>
      </c>
      <c r="I589" t="s">
        <v>8041</v>
      </c>
      <c r="J589" t="s">
        <v>3842</v>
      </c>
      <c r="K589" t="s">
        <v>74</v>
      </c>
      <c r="L589" t="s">
        <v>74</v>
      </c>
      <c r="M589" t="s">
        <v>77</v>
      </c>
      <c r="N589" t="s">
        <v>78</v>
      </c>
      <c r="O589" t="s">
        <v>74</v>
      </c>
      <c r="P589" t="s">
        <v>74</v>
      </c>
      <c r="Q589" t="s">
        <v>74</v>
      </c>
      <c r="R589" t="s">
        <v>74</v>
      </c>
      <c r="S589" t="s">
        <v>74</v>
      </c>
      <c r="T589" t="s">
        <v>74</v>
      </c>
      <c r="U589" t="s">
        <v>74</v>
      </c>
      <c r="V589" t="s">
        <v>8042</v>
      </c>
      <c r="W589" t="s">
        <v>8043</v>
      </c>
      <c r="X589" t="s">
        <v>8044</v>
      </c>
      <c r="Y589" t="s">
        <v>8045</v>
      </c>
      <c r="Z589" t="s">
        <v>8046</v>
      </c>
      <c r="AA589" t="s">
        <v>8047</v>
      </c>
      <c r="AB589" t="s">
        <v>8048</v>
      </c>
      <c r="AC589" t="s">
        <v>74</v>
      </c>
      <c r="AD589" t="s">
        <v>74</v>
      </c>
      <c r="AE589" t="s">
        <v>74</v>
      </c>
      <c r="AF589" t="s">
        <v>74</v>
      </c>
      <c r="AG589">
        <v>34</v>
      </c>
      <c r="AH589">
        <v>13</v>
      </c>
      <c r="AI589">
        <v>14</v>
      </c>
      <c r="AJ589">
        <v>0</v>
      </c>
      <c r="AK589">
        <v>4</v>
      </c>
      <c r="AL589" t="s">
        <v>906</v>
      </c>
      <c r="AM589" t="s">
        <v>160</v>
      </c>
      <c r="AN589" t="s">
        <v>890</v>
      </c>
      <c r="AO589" t="s">
        <v>3848</v>
      </c>
      <c r="AP589" t="s">
        <v>74</v>
      </c>
      <c r="AQ589" t="s">
        <v>74</v>
      </c>
      <c r="AR589" t="s">
        <v>3849</v>
      </c>
      <c r="AS589" t="s">
        <v>3850</v>
      </c>
      <c r="AT589" t="s">
        <v>7461</v>
      </c>
      <c r="AU589">
        <v>2000</v>
      </c>
      <c r="AV589">
        <v>23</v>
      </c>
      <c r="AW589">
        <v>10</v>
      </c>
      <c r="AX589" t="s">
        <v>74</v>
      </c>
      <c r="AY589" t="s">
        <v>74</v>
      </c>
      <c r="AZ589" t="s">
        <v>74</v>
      </c>
      <c r="BA589" t="s">
        <v>74</v>
      </c>
      <c r="BB589">
        <v>661</v>
      </c>
      <c r="BC589">
        <v>670</v>
      </c>
      <c r="BD589" t="s">
        <v>74</v>
      </c>
      <c r="BE589" t="s">
        <v>8049</v>
      </c>
      <c r="BF589" t="str">
        <f>HYPERLINK("http://dx.doi.org/10.1007/s003000000135","http://dx.doi.org/10.1007/s003000000135")</f>
        <v>http://dx.doi.org/10.1007/s003000000135</v>
      </c>
      <c r="BG589" t="s">
        <v>74</v>
      </c>
      <c r="BH589" t="s">
        <v>74</v>
      </c>
      <c r="BI589">
        <v>10</v>
      </c>
      <c r="BJ589" t="s">
        <v>3852</v>
      </c>
      <c r="BK589" t="s">
        <v>94</v>
      </c>
      <c r="BL589" t="s">
        <v>1103</v>
      </c>
      <c r="BM589" t="s">
        <v>8050</v>
      </c>
      <c r="BN589" t="s">
        <v>74</v>
      </c>
      <c r="BO589" t="s">
        <v>74</v>
      </c>
      <c r="BP589" t="s">
        <v>74</v>
      </c>
      <c r="BQ589" t="s">
        <v>74</v>
      </c>
      <c r="BR589" t="s">
        <v>97</v>
      </c>
      <c r="BS589" t="s">
        <v>8051</v>
      </c>
      <c r="BT589" t="str">
        <f>HYPERLINK("https%3A%2F%2Fwww.webofscience.com%2Fwos%2Fwoscc%2Ffull-record%2FWOS:000089916500001","View Full Record in Web of Science")</f>
        <v>View Full Record in Web of Science</v>
      </c>
    </row>
    <row r="590" spans="1:72" x14ac:dyDescent="0.15">
      <c r="A590" t="s">
        <v>72</v>
      </c>
      <c r="B590" t="s">
        <v>8052</v>
      </c>
      <c r="C590" t="s">
        <v>74</v>
      </c>
      <c r="D590" t="s">
        <v>74</v>
      </c>
      <c r="E590" t="s">
        <v>74</v>
      </c>
      <c r="F590" t="s">
        <v>8052</v>
      </c>
      <c r="G590" t="s">
        <v>74</v>
      </c>
      <c r="H590" t="s">
        <v>74</v>
      </c>
      <c r="I590" t="s">
        <v>8053</v>
      </c>
      <c r="J590" t="s">
        <v>3842</v>
      </c>
      <c r="K590" t="s">
        <v>74</v>
      </c>
      <c r="L590" t="s">
        <v>74</v>
      </c>
      <c r="M590" t="s">
        <v>77</v>
      </c>
      <c r="N590" t="s">
        <v>78</v>
      </c>
      <c r="O590" t="s">
        <v>74</v>
      </c>
      <c r="P590" t="s">
        <v>74</v>
      </c>
      <c r="Q590" t="s">
        <v>74</v>
      </c>
      <c r="R590" t="s">
        <v>74</v>
      </c>
      <c r="S590" t="s">
        <v>74</v>
      </c>
      <c r="T590" t="s">
        <v>74</v>
      </c>
      <c r="U590" t="s">
        <v>8054</v>
      </c>
      <c r="V590" t="s">
        <v>8055</v>
      </c>
      <c r="W590" t="s">
        <v>8056</v>
      </c>
      <c r="X590" t="s">
        <v>177</v>
      </c>
      <c r="Y590" t="s">
        <v>8057</v>
      </c>
      <c r="Z590" t="s">
        <v>8058</v>
      </c>
      <c r="AA590" t="s">
        <v>8059</v>
      </c>
      <c r="AB590" t="s">
        <v>74</v>
      </c>
      <c r="AC590" t="s">
        <v>74</v>
      </c>
      <c r="AD590" t="s">
        <v>74</v>
      </c>
      <c r="AE590" t="s">
        <v>74</v>
      </c>
      <c r="AF590" t="s">
        <v>74</v>
      </c>
      <c r="AG590">
        <v>25</v>
      </c>
      <c r="AH590">
        <v>4</v>
      </c>
      <c r="AI590">
        <v>4</v>
      </c>
      <c r="AJ590">
        <v>0</v>
      </c>
      <c r="AK590">
        <v>2</v>
      </c>
      <c r="AL590" t="s">
        <v>906</v>
      </c>
      <c r="AM590" t="s">
        <v>160</v>
      </c>
      <c r="AN590" t="s">
        <v>890</v>
      </c>
      <c r="AO590" t="s">
        <v>3848</v>
      </c>
      <c r="AP590" t="s">
        <v>3871</v>
      </c>
      <c r="AQ590" t="s">
        <v>74</v>
      </c>
      <c r="AR590" t="s">
        <v>3849</v>
      </c>
      <c r="AS590" t="s">
        <v>3850</v>
      </c>
      <c r="AT590" t="s">
        <v>7461</v>
      </c>
      <c r="AU590">
        <v>2000</v>
      </c>
      <c r="AV590">
        <v>23</v>
      </c>
      <c r="AW590">
        <v>10</v>
      </c>
      <c r="AX590" t="s">
        <v>74</v>
      </c>
      <c r="AY590" t="s">
        <v>74</v>
      </c>
      <c r="AZ590" t="s">
        <v>74</v>
      </c>
      <c r="BA590" t="s">
        <v>74</v>
      </c>
      <c r="BB590">
        <v>671</v>
      </c>
      <c r="BC590">
        <v>674</v>
      </c>
      <c r="BD590" t="s">
        <v>74</v>
      </c>
      <c r="BE590" t="s">
        <v>8060</v>
      </c>
      <c r="BF590" t="str">
        <f>HYPERLINK("http://dx.doi.org/10.1007/s003000000136","http://dx.doi.org/10.1007/s003000000136")</f>
        <v>http://dx.doi.org/10.1007/s003000000136</v>
      </c>
      <c r="BG590" t="s">
        <v>74</v>
      </c>
      <c r="BH590" t="s">
        <v>74</v>
      </c>
      <c r="BI590">
        <v>4</v>
      </c>
      <c r="BJ590" t="s">
        <v>3852</v>
      </c>
      <c r="BK590" t="s">
        <v>94</v>
      </c>
      <c r="BL590" t="s">
        <v>1103</v>
      </c>
      <c r="BM590" t="s">
        <v>8050</v>
      </c>
      <c r="BN590" t="s">
        <v>74</v>
      </c>
      <c r="BO590" t="s">
        <v>74</v>
      </c>
      <c r="BP590" t="s">
        <v>74</v>
      </c>
      <c r="BQ590" t="s">
        <v>74</v>
      </c>
      <c r="BR590" t="s">
        <v>97</v>
      </c>
      <c r="BS590" t="s">
        <v>8061</v>
      </c>
      <c r="BT590" t="str">
        <f>HYPERLINK("https%3A%2F%2Fwww.webofscience.com%2Fwos%2Fwoscc%2Ffull-record%2FWOS:000089916500002","View Full Record in Web of Science")</f>
        <v>View Full Record in Web of Science</v>
      </c>
    </row>
    <row r="591" spans="1:72" x14ac:dyDescent="0.15">
      <c r="A591" t="s">
        <v>72</v>
      </c>
      <c r="B591" t="s">
        <v>8062</v>
      </c>
      <c r="C591" t="s">
        <v>74</v>
      </c>
      <c r="D591" t="s">
        <v>74</v>
      </c>
      <c r="E591" t="s">
        <v>74</v>
      </c>
      <c r="F591" t="s">
        <v>8062</v>
      </c>
      <c r="G591" t="s">
        <v>74</v>
      </c>
      <c r="H591" t="s">
        <v>74</v>
      </c>
      <c r="I591" t="s">
        <v>8063</v>
      </c>
      <c r="J591" t="s">
        <v>3842</v>
      </c>
      <c r="K591" t="s">
        <v>74</v>
      </c>
      <c r="L591" t="s">
        <v>74</v>
      </c>
      <c r="M591" t="s">
        <v>77</v>
      </c>
      <c r="N591" t="s">
        <v>78</v>
      </c>
      <c r="O591" t="s">
        <v>74</v>
      </c>
      <c r="P591" t="s">
        <v>74</v>
      </c>
      <c r="Q591" t="s">
        <v>74</v>
      </c>
      <c r="R591" t="s">
        <v>74</v>
      </c>
      <c r="S591" t="s">
        <v>74</v>
      </c>
      <c r="T591" t="s">
        <v>74</v>
      </c>
      <c r="U591" t="s">
        <v>8064</v>
      </c>
      <c r="V591" t="s">
        <v>8065</v>
      </c>
      <c r="W591" t="s">
        <v>8066</v>
      </c>
      <c r="X591" t="s">
        <v>8067</v>
      </c>
      <c r="Y591" t="s">
        <v>8068</v>
      </c>
      <c r="Z591" t="s">
        <v>74</v>
      </c>
      <c r="AA591" t="s">
        <v>8069</v>
      </c>
      <c r="AB591" t="s">
        <v>8070</v>
      </c>
      <c r="AC591" t="s">
        <v>74</v>
      </c>
      <c r="AD591" t="s">
        <v>74</v>
      </c>
      <c r="AE591" t="s">
        <v>74</v>
      </c>
      <c r="AF591" t="s">
        <v>74</v>
      </c>
      <c r="AG591">
        <v>85</v>
      </c>
      <c r="AH591">
        <v>16</v>
      </c>
      <c r="AI591">
        <v>18</v>
      </c>
      <c r="AJ591">
        <v>0</v>
      </c>
      <c r="AK591">
        <v>8</v>
      </c>
      <c r="AL591" t="s">
        <v>159</v>
      </c>
      <c r="AM591" t="s">
        <v>160</v>
      </c>
      <c r="AN591" t="s">
        <v>161</v>
      </c>
      <c r="AO591" t="s">
        <v>3848</v>
      </c>
      <c r="AP591" t="s">
        <v>74</v>
      </c>
      <c r="AQ591" t="s">
        <v>74</v>
      </c>
      <c r="AR591" t="s">
        <v>3849</v>
      </c>
      <c r="AS591" t="s">
        <v>3850</v>
      </c>
      <c r="AT591" t="s">
        <v>7461</v>
      </c>
      <c r="AU591">
        <v>2000</v>
      </c>
      <c r="AV591">
        <v>23</v>
      </c>
      <c r="AW591">
        <v>10</v>
      </c>
      <c r="AX591" t="s">
        <v>74</v>
      </c>
      <c r="AY591" t="s">
        <v>74</v>
      </c>
      <c r="AZ591" t="s">
        <v>74</v>
      </c>
      <c r="BA591" t="s">
        <v>74</v>
      </c>
      <c r="BB591">
        <v>679</v>
      </c>
      <c r="BC591">
        <v>690</v>
      </c>
      <c r="BD591" t="s">
        <v>74</v>
      </c>
      <c r="BE591" t="s">
        <v>8071</v>
      </c>
      <c r="BF591" t="str">
        <f>HYPERLINK("http://dx.doi.org/10.1007/s003000000139","http://dx.doi.org/10.1007/s003000000139")</f>
        <v>http://dx.doi.org/10.1007/s003000000139</v>
      </c>
      <c r="BG591" t="s">
        <v>74</v>
      </c>
      <c r="BH591" t="s">
        <v>74</v>
      </c>
      <c r="BI591">
        <v>12</v>
      </c>
      <c r="BJ591" t="s">
        <v>3852</v>
      </c>
      <c r="BK591" t="s">
        <v>94</v>
      </c>
      <c r="BL591" t="s">
        <v>1103</v>
      </c>
      <c r="BM591" t="s">
        <v>8050</v>
      </c>
      <c r="BN591" t="s">
        <v>74</v>
      </c>
      <c r="BO591" t="s">
        <v>74</v>
      </c>
      <c r="BP591" t="s">
        <v>74</v>
      </c>
      <c r="BQ591" t="s">
        <v>74</v>
      </c>
      <c r="BR591" t="s">
        <v>97</v>
      </c>
      <c r="BS591" t="s">
        <v>8072</v>
      </c>
      <c r="BT591" t="str">
        <f>HYPERLINK("https%3A%2F%2Fwww.webofscience.com%2Fwos%2Fwoscc%2Ffull-record%2FWOS:000089916500004","View Full Record in Web of Science")</f>
        <v>View Full Record in Web of Science</v>
      </c>
    </row>
    <row r="592" spans="1:72" x14ac:dyDescent="0.15">
      <c r="A592" t="s">
        <v>72</v>
      </c>
      <c r="B592" t="s">
        <v>8073</v>
      </c>
      <c r="C592" t="s">
        <v>74</v>
      </c>
      <c r="D592" t="s">
        <v>74</v>
      </c>
      <c r="E592" t="s">
        <v>74</v>
      </c>
      <c r="F592" t="s">
        <v>8073</v>
      </c>
      <c r="G592" t="s">
        <v>74</v>
      </c>
      <c r="H592" t="s">
        <v>74</v>
      </c>
      <c r="I592" t="s">
        <v>8074</v>
      </c>
      <c r="J592" t="s">
        <v>3842</v>
      </c>
      <c r="K592" t="s">
        <v>74</v>
      </c>
      <c r="L592" t="s">
        <v>74</v>
      </c>
      <c r="M592" t="s">
        <v>77</v>
      </c>
      <c r="N592" t="s">
        <v>78</v>
      </c>
      <c r="O592" t="s">
        <v>74</v>
      </c>
      <c r="P592" t="s">
        <v>74</v>
      </c>
      <c r="Q592" t="s">
        <v>74</v>
      </c>
      <c r="R592" t="s">
        <v>74</v>
      </c>
      <c r="S592" t="s">
        <v>74</v>
      </c>
      <c r="T592" t="s">
        <v>74</v>
      </c>
      <c r="U592" t="s">
        <v>8075</v>
      </c>
      <c r="V592" t="s">
        <v>8076</v>
      </c>
      <c r="W592" t="s">
        <v>8077</v>
      </c>
      <c r="X592" t="s">
        <v>3783</v>
      </c>
      <c r="Y592" t="s">
        <v>8078</v>
      </c>
      <c r="Z592" t="s">
        <v>8079</v>
      </c>
      <c r="AA592" t="s">
        <v>8080</v>
      </c>
      <c r="AB592" t="s">
        <v>8081</v>
      </c>
      <c r="AC592" t="s">
        <v>74</v>
      </c>
      <c r="AD592" t="s">
        <v>74</v>
      </c>
      <c r="AE592" t="s">
        <v>74</v>
      </c>
      <c r="AF592" t="s">
        <v>74</v>
      </c>
      <c r="AG592">
        <v>36</v>
      </c>
      <c r="AH592">
        <v>4</v>
      </c>
      <c r="AI592">
        <v>4</v>
      </c>
      <c r="AJ592">
        <v>0</v>
      </c>
      <c r="AK592">
        <v>5</v>
      </c>
      <c r="AL592" t="s">
        <v>906</v>
      </c>
      <c r="AM592" t="s">
        <v>160</v>
      </c>
      <c r="AN592" t="s">
        <v>928</v>
      </c>
      <c r="AO592" t="s">
        <v>3848</v>
      </c>
      <c r="AP592" t="s">
        <v>3871</v>
      </c>
      <c r="AQ592" t="s">
        <v>74</v>
      </c>
      <c r="AR592" t="s">
        <v>3849</v>
      </c>
      <c r="AS592" t="s">
        <v>3850</v>
      </c>
      <c r="AT592" t="s">
        <v>7461</v>
      </c>
      <c r="AU592">
        <v>2000</v>
      </c>
      <c r="AV592">
        <v>23</v>
      </c>
      <c r="AW592">
        <v>10</v>
      </c>
      <c r="AX592" t="s">
        <v>74</v>
      </c>
      <c r="AY592" t="s">
        <v>74</v>
      </c>
      <c r="AZ592" t="s">
        <v>74</v>
      </c>
      <c r="BA592" t="s">
        <v>74</v>
      </c>
      <c r="BB592">
        <v>691</v>
      </c>
      <c r="BC592">
        <v>698</v>
      </c>
      <c r="BD592" t="s">
        <v>74</v>
      </c>
      <c r="BE592" t="s">
        <v>8082</v>
      </c>
      <c r="BF592" t="str">
        <f>HYPERLINK("http://dx.doi.org/10.1007/s003000000140","http://dx.doi.org/10.1007/s003000000140")</f>
        <v>http://dx.doi.org/10.1007/s003000000140</v>
      </c>
      <c r="BG592" t="s">
        <v>74</v>
      </c>
      <c r="BH592" t="s">
        <v>74</v>
      </c>
      <c r="BI592">
        <v>8</v>
      </c>
      <c r="BJ592" t="s">
        <v>3852</v>
      </c>
      <c r="BK592" t="s">
        <v>94</v>
      </c>
      <c r="BL592" t="s">
        <v>1103</v>
      </c>
      <c r="BM592" t="s">
        <v>8050</v>
      </c>
      <c r="BN592" t="s">
        <v>74</v>
      </c>
      <c r="BO592" t="s">
        <v>74</v>
      </c>
      <c r="BP592" t="s">
        <v>74</v>
      </c>
      <c r="BQ592" t="s">
        <v>74</v>
      </c>
      <c r="BR592" t="s">
        <v>97</v>
      </c>
      <c r="BS592" t="s">
        <v>8083</v>
      </c>
      <c r="BT592" t="str">
        <f>HYPERLINK("https%3A%2F%2Fwww.webofscience.com%2Fwos%2Fwoscc%2Ffull-record%2FWOS:000089916500005","View Full Record in Web of Science")</f>
        <v>View Full Record in Web of Science</v>
      </c>
    </row>
    <row r="593" spans="1:72" x14ac:dyDescent="0.15">
      <c r="A593" t="s">
        <v>72</v>
      </c>
      <c r="B593" t="s">
        <v>8084</v>
      </c>
      <c r="C593" t="s">
        <v>74</v>
      </c>
      <c r="D593" t="s">
        <v>74</v>
      </c>
      <c r="E593" t="s">
        <v>74</v>
      </c>
      <c r="F593" t="s">
        <v>8084</v>
      </c>
      <c r="G593" t="s">
        <v>74</v>
      </c>
      <c r="H593" t="s">
        <v>74</v>
      </c>
      <c r="I593" t="s">
        <v>8085</v>
      </c>
      <c r="J593" t="s">
        <v>3842</v>
      </c>
      <c r="K593" t="s">
        <v>74</v>
      </c>
      <c r="L593" t="s">
        <v>74</v>
      </c>
      <c r="M593" t="s">
        <v>77</v>
      </c>
      <c r="N593" t="s">
        <v>78</v>
      </c>
      <c r="O593" t="s">
        <v>74</v>
      </c>
      <c r="P593" t="s">
        <v>74</v>
      </c>
      <c r="Q593" t="s">
        <v>74</v>
      </c>
      <c r="R593" t="s">
        <v>74</v>
      </c>
      <c r="S593" t="s">
        <v>74</v>
      </c>
      <c r="T593" t="s">
        <v>74</v>
      </c>
      <c r="U593" t="s">
        <v>8086</v>
      </c>
      <c r="V593" t="s">
        <v>8087</v>
      </c>
      <c r="W593" t="s">
        <v>8088</v>
      </c>
      <c r="X593" t="s">
        <v>8089</v>
      </c>
      <c r="Y593" t="s">
        <v>8090</v>
      </c>
      <c r="Z593" t="s">
        <v>74</v>
      </c>
      <c r="AA593" t="s">
        <v>8091</v>
      </c>
      <c r="AB593" t="s">
        <v>8092</v>
      </c>
      <c r="AC593" t="s">
        <v>74</v>
      </c>
      <c r="AD593" t="s">
        <v>74</v>
      </c>
      <c r="AE593" t="s">
        <v>74</v>
      </c>
      <c r="AF593" t="s">
        <v>74</v>
      </c>
      <c r="AG593">
        <v>47</v>
      </c>
      <c r="AH593">
        <v>38</v>
      </c>
      <c r="AI593">
        <v>39</v>
      </c>
      <c r="AJ593">
        <v>0</v>
      </c>
      <c r="AK593">
        <v>7</v>
      </c>
      <c r="AL593" t="s">
        <v>159</v>
      </c>
      <c r="AM593" t="s">
        <v>160</v>
      </c>
      <c r="AN593" t="s">
        <v>161</v>
      </c>
      <c r="AO593" t="s">
        <v>3848</v>
      </c>
      <c r="AP593" t="s">
        <v>74</v>
      </c>
      <c r="AQ593" t="s">
        <v>74</v>
      </c>
      <c r="AR593" t="s">
        <v>3849</v>
      </c>
      <c r="AS593" t="s">
        <v>3850</v>
      </c>
      <c r="AT593" t="s">
        <v>7461</v>
      </c>
      <c r="AU593">
        <v>2000</v>
      </c>
      <c r="AV593">
        <v>23</v>
      </c>
      <c r="AW593">
        <v>10</v>
      </c>
      <c r="AX593" t="s">
        <v>74</v>
      </c>
      <c r="AY593" t="s">
        <v>74</v>
      </c>
      <c r="AZ593" t="s">
        <v>74</v>
      </c>
      <c r="BA593" t="s">
        <v>74</v>
      </c>
      <c r="BB593">
        <v>699</v>
      </c>
      <c r="BC593">
        <v>705</v>
      </c>
      <c r="BD593" t="s">
        <v>74</v>
      </c>
      <c r="BE593" t="s">
        <v>8093</v>
      </c>
      <c r="BF593" t="str">
        <f>HYPERLINK("http://dx.doi.org/10.1007/s003000000141","http://dx.doi.org/10.1007/s003000000141")</f>
        <v>http://dx.doi.org/10.1007/s003000000141</v>
      </c>
      <c r="BG593" t="s">
        <v>74</v>
      </c>
      <c r="BH593" t="s">
        <v>74</v>
      </c>
      <c r="BI593">
        <v>7</v>
      </c>
      <c r="BJ593" t="s">
        <v>3852</v>
      </c>
      <c r="BK593" t="s">
        <v>94</v>
      </c>
      <c r="BL593" t="s">
        <v>1103</v>
      </c>
      <c r="BM593" t="s">
        <v>8050</v>
      </c>
      <c r="BN593" t="s">
        <v>74</v>
      </c>
      <c r="BO593" t="s">
        <v>74</v>
      </c>
      <c r="BP593" t="s">
        <v>74</v>
      </c>
      <c r="BQ593" t="s">
        <v>74</v>
      </c>
      <c r="BR593" t="s">
        <v>97</v>
      </c>
      <c r="BS593" t="s">
        <v>8094</v>
      </c>
      <c r="BT593" t="str">
        <f>HYPERLINK("https%3A%2F%2Fwww.webofscience.com%2Fwos%2Fwoscc%2Ffull-record%2FWOS:000089916500006","View Full Record in Web of Science")</f>
        <v>View Full Record in Web of Science</v>
      </c>
    </row>
    <row r="594" spans="1:72" x14ac:dyDescent="0.15">
      <c r="A594" t="s">
        <v>72</v>
      </c>
      <c r="B594" t="s">
        <v>8095</v>
      </c>
      <c r="C594" t="s">
        <v>74</v>
      </c>
      <c r="D594" t="s">
        <v>74</v>
      </c>
      <c r="E594" t="s">
        <v>74</v>
      </c>
      <c r="F594" t="s">
        <v>8095</v>
      </c>
      <c r="G594" t="s">
        <v>74</v>
      </c>
      <c r="H594" t="s">
        <v>74</v>
      </c>
      <c r="I594" t="s">
        <v>8096</v>
      </c>
      <c r="J594" t="s">
        <v>3842</v>
      </c>
      <c r="K594" t="s">
        <v>74</v>
      </c>
      <c r="L594" t="s">
        <v>74</v>
      </c>
      <c r="M594" t="s">
        <v>77</v>
      </c>
      <c r="N594" t="s">
        <v>78</v>
      </c>
      <c r="O594" t="s">
        <v>74</v>
      </c>
      <c r="P594" t="s">
        <v>74</v>
      </c>
      <c r="Q594" t="s">
        <v>74</v>
      </c>
      <c r="R594" t="s">
        <v>74</v>
      </c>
      <c r="S594" t="s">
        <v>74</v>
      </c>
      <c r="T594" t="s">
        <v>74</v>
      </c>
      <c r="U594" t="s">
        <v>74</v>
      </c>
      <c r="V594" t="s">
        <v>8097</v>
      </c>
      <c r="W594" t="s">
        <v>8098</v>
      </c>
      <c r="X594" t="s">
        <v>8099</v>
      </c>
      <c r="Y594" t="s">
        <v>8100</v>
      </c>
      <c r="Z594" t="s">
        <v>8101</v>
      </c>
      <c r="AA594" t="s">
        <v>74</v>
      </c>
      <c r="AB594" t="s">
        <v>74</v>
      </c>
      <c r="AC594" t="s">
        <v>74</v>
      </c>
      <c r="AD594" t="s">
        <v>74</v>
      </c>
      <c r="AE594" t="s">
        <v>74</v>
      </c>
      <c r="AF594" t="s">
        <v>74</v>
      </c>
      <c r="AG594">
        <v>13</v>
      </c>
      <c r="AH594">
        <v>10</v>
      </c>
      <c r="AI594">
        <v>11</v>
      </c>
      <c r="AJ594">
        <v>0</v>
      </c>
      <c r="AK594">
        <v>6</v>
      </c>
      <c r="AL594" t="s">
        <v>906</v>
      </c>
      <c r="AM594" t="s">
        <v>160</v>
      </c>
      <c r="AN594" t="s">
        <v>890</v>
      </c>
      <c r="AO594" t="s">
        <v>3848</v>
      </c>
      <c r="AP594" t="s">
        <v>3871</v>
      </c>
      <c r="AQ594" t="s">
        <v>74</v>
      </c>
      <c r="AR594" t="s">
        <v>3849</v>
      </c>
      <c r="AS594" t="s">
        <v>3850</v>
      </c>
      <c r="AT594" t="s">
        <v>7461</v>
      </c>
      <c r="AU594">
        <v>2000</v>
      </c>
      <c r="AV594">
        <v>23</v>
      </c>
      <c r="AW594">
        <v>10</v>
      </c>
      <c r="AX594" t="s">
        <v>74</v>
      </c>
      <c r="AY594" t="s">
        <v>74</v>
      </c>
      <c r="AZ594" t="s">
        <v>74</v>
      </c>
      <c r="BA594" t="s">
        <v>74</v>
      </c>
      <c r="BB594">
        <v>717</v>
      </c>
      <c r="BC594">
        <v>720</v>
      </c>
      <c r="BD594" t="s">
        <v>74</v>
      </c>
      <c r="BE594" t="s">
        <v>8102</v>
      </c>
      <c r="BF594" t="str">
        <f>HYPERLINK("http://dx.doi.org/10.1007/s003000000146","http://dx.doi.org/10.1007/s003000000146")</f>
        <v>http://dx.doi.org/10.1007/s003000000146</v>
      </c>
      <c r="BG594" t="s">
        <v>74</v>
      </c>
      <c r="BH594" t="s">
        <v>74</v>
      </c>
      <c r="BI594">
        <v>4</v>
      </c>
      <c r="BJ594" t="s">
        <v>3852</v>
      </c>
      <c r="BK594" t="s">
        <v>94</v>
      </c>
      <c r="BL594" t="s">
        <v>1103</v>
      </c>
      <c r="BM594" t="s">
        <v>8050</v>
      </c>
      <c r="BN594" t="s">
        <v>74</v>
      </c>
      <c r="BO594" t="s">
        <v>74</v>
      </c>
      <c r="BP594" t="s">
        <v>74</v>
      </c>
      <c r="BQ594" t="s">
        <v>74</v>
      </c>
      <c r="BR594" t="s">
        <v>97</v>
      </c>
      <c r="BS594" t="s">
        <v>8103</v>
      </c>
      <c r="BT594" t="str">
        <f>HYPERLINK("https%3A%2F%2Fwww.webofscience.com%2Fwos%2Fwoscc%2Ffull-record%2FWOS:000089916500008","View Full Record in Web of Science")</f>
        <v>View Full Record in Web of Science</v>
      </c>
    </row>
    <row r="595" spans="1:72" x14ac:dyDescent="0.15">
      <c r="A595" t="s">
        <v>72</v>
      </c>
      <c r="B595" t="s">
        <v>8104</v>
      </c>
      <c r="C595" t="s">
        <v>74</v>
      </c>
      <c r="D595" t="s">
        <v>74</v>
      </c>
      <c r="E595" t="s">
        <v>74</v>
      </c>
      <c r="F595" t="s">
        <v>8104</v>
      </c>
      <c r="G595" t="s">
        <v>74</v>
      </c>
      <c r="H595" t="s">
        <v>74</v>
      </c>
      <c r="I595" t="s">
        <v>8105</v>
      </c>
      <c r="J595" t="s">
        <v>3842</v>
      </c>
      <c r="K595" t="s">
        <v>74</v>
      </c>
      <c r="L595" t="s">
        <v>74</v>
      </c>
      <c r="M595" t="s">
        <v>77</v>
      </c>
      <c r="N595" t="s">
        <v>78</v>
      </c>
      <c r="O595" t="s">
        <v>74</v>
      </c>
      <c r="P595" t="s">
        <v>74</v>
      </c>
      <c r="Q595" t="s">
        <v>74</v>
      </c>
      <c r="R595" t="s">
        <v>74</v>
      </c>
      <c r="S595" t="s">
        <v>74</v>
      </c>
      <c r="T595" t="s">
        <v>74</v>
      </c>
      <c r="U595" t="s">
        <v>8106</v>
      </c>
      <c r="V595" t="s">
        <v>8107</v>
      </c>
      <c r="W595" t="s">
        <v>8108</v>
      </c>
      <c r="X595" t="s">
        <v>8109</v>
      </c>
      <c r="Y595" t="s">
        <v>5127</v>
      </c>
      <c r="Z595" t="s">
        <v>74</v>
      </c>
      <c r="AA595" t="s">
        <v>74</v>
      </c>
      <c r="AB595" t="s">
        <v>74</v>
      </c>
      <c r="AC595" t="s">
        <v>74</v>
      </c>
      <c r="AD595" t="s">
        <v>74</v>
      </c>
      <c r="AE595" t="s">
        <v>74</v>
      </c>
      <c r="AF595" t="s">
        <v>74</v>
      </c>
      <c r="AG595">
        <v>26</v>
      </c>
      <c r="AH595">
        <v>34</v>
      </c>
      <c r="AI595">
        <v>37</v>
      </c>
      <c r="AJ595">
        <v>0</v>
      </c>
      <c r="AK595">
        <v>18</v>
      </c>
      <c r="AL595" t="s">
        <v>159</v>
      </c>
      <c r="AM595" t="s">
        <v>160</v>
      </c>
      <c r="AN595" t="s">
        <v>161</v>
      </c>
      <c r="AO595" t="s">
        <v>3848</v>
      </c>
      <c r="AP595" t="s">
        <v>74</v>
      </c>
      <c r="AQ595" t="s">
        <v>74</v>
      </c>
      <c r="AR595" t="s">
        <v>3849</v>
      </c>
      <c r="AS595" t="s">
        <v>3850</v>
      </c>
      <c r="AT595" t="s">
        <v>7461</v>
      </c>
      <c r="AU595">
        <v>2000</v>
      </c>
      <c r="AV595">
        <v>23</v>
      </c>
      <c r="AW595">
        <v>10</v>
      </c>
      <c r="AX595" t="s">
        <v>74</v>
      </c>
      <c r="AY595" t="s">
        <v>74</v>
      </c>
      <c r="AZ595" t="s">
        <v>74</v>
      </c>
      <c r="BA595" t="s">
        <v>74</v>
      </c>
      <c r="BB595">
        <v>721</v>
      </c>
      <c r="BC595">
        <v>729</v>
      </c>
      <c r="BD595" t="s">
        <v>74</v>
      </c>
      <c r="BE595" t="s">
        <v>8110</v>
      </c>
      <c r="BF595" t="str">
        <f>HYPERLINK("http://dx.doi.org/10.1007/s003000000147","http://dx.doi.org/10.1007/s003000000147")</f>
        <v>http://dx.doi.org/10.1007/s003000000147</v>
      </c>
      <c r="BG595" t="s">
        <v>74</v>
      </c>
      <c r="BH595" t="s">
        <v>74</v>
      </c>
      <c r="BI595">
        <v>9</v>
      </c>
      <c r="BJ595" t="s">
        <v>3852</v>
      </c>
      <c r="BK595" t="s">
        <v>94</v>
      </c>
      <c r="BL595" t="s">
        <v>1103</v>
      </c>
      <c r="BM595" t="s">
        <v>8050</v>
      </c>
      <c r="BN595" t="s">
        <v>74</v>
      </c>
      <c r="BO595" t="s">
        <v>74</v>
      </c>
      <c r="BP595" t="s">
        <v>74</v>
      </c>
      <c r="BQ595" t="s">
        <v>74</v>
      </c>
      <c r="BR595" t="s">
        <v>97</v>
      </c>
      <c r="BS595" t="s">
        <v>8111</v>
      </c>
      <c r="BT595" t="str">
        <f>HYPERLINK("https%3A%2F%2Fwww.webofscience.com%2Fwos%2Fwoscc%2Ffull-record%2FWOS:000089916500009","View Full Record in Web of Science")</f>
        <v>View Full Record in Web of Science</v>
      </c>
    </row>
    <row r="596" spans="1:72" x14ac:dyDescent="0.15">
      <c r="A596" t="s">
        <v>72</v>
      </c>
      <c r="B596" t="s">
        <v>8112</v>
      </c>
      <c r="C596" t="s">
        <v>74</v>
      </c>
      <c r="D596" t="s">
        <v>74</v>
      </c>
      <c r="E596" t="s">
        <v>74</v>
      </c>
      <c r="F596" t="s">
        <v>8112</v>
      </c>
      <c r="G596" t="s">
        <v>74</v>
      </c>
      <c r="H596" t="s">
        <v>74</v>
      </c>
      <c r="I596" t="s">
        <v>8113</v>
      </c>
      <c r="J596" t="s">
        <v>3842</v>
      </c>
      <c r="K596" t="s">
        <v>74</v>
      </c>
      <c r="L596" t="s">
        <v>74</v>
      </c>
      <c r="M596" t="s">
        <v>77</v>
      </c>
      <c r="N596" t="s">
        <v>78</v>
      </c>
      <c r="O596" t="s">
        <v>74</v>
      </c>
      <c r="P596" t="s">
        <v>74</v>
      </c>
      <c r="Q596" t="s">
        <v>74</v>
      </c>
      <c r="R596" t="s">
        <v>74</v>
      </c>
      <c r="S596" t="s">
        <v>74</v>
      </c>
      <c r="T596" t="s">
        <v>74</v>
      </c>
      <c r="U596" t="s">
        <v>74</v>
      </c>
      <c r="V596" t="s">
        <v>8114</v>
      </c>
      <c r="W596" t="s">
        <v>8115</v>
      </c>
      <c r="X596" t="s">
        <v>8116</v>
      </c>
      <c r="Y596" t="s">
        <v>8117</v>
      </c>
      <c r="Z596" t="s">
        <v>8118</v>
      </c>
      <c r="AA596" t="s">
        <v>74</v>
      </c>
      <c r="AB596" t="s">
        <v>8119</v>
      </c>
      <c r="AC596" t="s">
        <v>74</v>
      </c>
      <c r="AD596" t="s">
        <v>74</v>
      </c>
      <c r="AE596" t="s">
        <v>74</v>
      </c>
      <c r="AF596" t="s">
        <v>74</v>
      </c>
      <c r="AG596">
        <v>13</v>
      </c>
      <c r="AH596">
        <v>16</v>
      </c>
      <c r="AI596">
        <v>20</v>
      </c>
      <c r="AJ596">
        <v>0</v>
      </c>
      <c r="AK596">
        <v>1</v>
      </c>
      <c r="AL596" t="s">
        <v>906</v>
      </c>
      <c r="AM596" t="s">
        <v>160</v>
      </c>
      <c r="AN596" t="s">
        <v>928</v>
      </c>
      <c r="AO596" t="s">
        <v>3848</v>
      </c>
      <c r="AP596" t="s">
        <v>3871</v>
      </c>
      <c r="AQ596" t="s">
        <v>74</v>
      </c>
      <c r="AR596" t="s">
        <v>3849</v>
      </c>
      <c r="AS596" t="s">
        <v>3850</v>
      </c>
      <c r="AT596" t="s">
        <v>7461</v>
      </c>
      <c r="AU596">
        <v>2000</v>
      </c>
      <c r="AV596">
        <v>23</v>
      </c>
      <c r="AW596">
        <v>10</v>
      </c>
      <c r="AX596" t="s">
        <v>74</v>
      </c>
      <c r="AY596" t="s">
        <v>74</v>
      </c>
      <c r="AZ596" t="s">
        <v>74</v>
      </c>
      <c r="BA596" t="s">
        <v>74</v>
      </c>
      <c r="BB596">
        <v>730</v>
      </c>
      <c r="BC596">
        <v>732</v>
      </c>
      <c r="BD596" t="s">
        <v>74</v>
      </c>
      <c r="BE596" t="s">
        <v>8120</v>
      </c>
      <c r="BF596" t="str">
        <f>HYPERLINK("http://dx.doi.org/10.1007/s003000000161","http://dx.doi.org/10.1007/s003000000161")</f>
        <v>http://dx.doi.org/10.1007/s003000000161</v>
      </c>
      <c r="BG596" t="s">
        <v>74</v>
      </c>
      <c r="BH596" t="s">
        <v>74</v>
      </c>
      <c r="BI596">
        <v>3</v>
      </c>
      <c r="BJ596" t="s">
        <v>3852</v>
      </c>
      <c r="BK596" t="s">
        <v>94</v>
      </c>
      <c r="BL596" t="s">
        <v>1103</v>
      </c>
      <c r="BM596" t="s">
        <v>8050</v>
      </c>
      <c r="BN596" t="s">
        <v>74</v>
      </c>
      <c r="BO596" t="s">
        <v>74</v>
      </c>
      <c r="BP596" t="s">
        <v>74</v>
      </c>
      <c r="BQ596" t="s">
        <v>74</v>
      </c>
      <c r="BR596" t="s">
        <v>97</v>
      </c>
      <c r="BS596" t="s">
        <v>8121</v>
      </c>
      <c r="BT596" t="str">
        <f>HYPERLINK("https%3A%2F%2Fwww.webofscience.com%2Fwos%2Fwoscc%2Ffull-record%2FWOS:000089916500010","View Full Record in Web of Science")</f>
        <v>View Full Record in Web of Science</v>
      </c>
    </row>
    <row r="597" spans="1:72" x14ac:dyDescent="0.15">
      <c r="A597" t="s">
        <v>72</v>
      </c>
      <c r="B597" t="s">
        <v>8122</v>
      </c>
      <c r="C597" t="s">
        <v>74</v>
      </c>
      <c r="D597" t="s">
        <v>74</v>
      </c>
      <c r="E597" t="s">
        <v>74</v>
      </c>
      <c r="F597" t="s">
        <v>8122</v>
      </c>
      <c r="G597" t="s">
        <v>74</v>
      </c>
      <c r="H597" t="s">
        <v>74</v>
      </c>
      <c r="I597" t="s">
        <v>8123</v>
      </c>
      <c r="J597" t="s">
        <v>8124</v>
      </c>
      <c r="K597" t="s">
        <v>74</v>
      </c>
      <c r="L597" t="s">
        <v>74</v>
      </c>
      <c r="M597" t="s">
        <v>77</v>
      </c>
      <c r="N597" t="s">
        <v>78</v>
      </c>
      <c r="O597" t="s">
        <v>74</v>
      </c>
      <c r="P597" t="s">
        <v>74</v>
      </c>
      <c r="Q597" t="s">
        <v>74</v>
      </c>
      <c r="R597" t="s">
        <v>74</v>
      </c>
      <c r="S597" t="s">
        <v>74</v>
      </c>
      <c r="T597" t="s">
        <v>8125</v>
      </c>
      <c r="U597" t="s">
        <v>8126</v>
      </c>
      <c r="V597" t="s">
        <v>8127</v>
      </c>
      <c r="W597" t="s">
        <v>8128</v>
      </c>
      <c r="X597" t="s">
        <v>8129</v>
      </c>
      <c r="Y597" t="s">
        <v>8130</v>
      </c>
      <c r="Z597" t="s">
        <v>74</v>
      </c>
      <c r="AA597" t="s">
        <v>8131</v>
      </c>
      <c r="AB597" t="s">
        <v>8132</v>
      </c>
      <c r="AC597" t="s">
        <v>74</v>
      </c>
      <c r="AD597" t="s">
        <v>74</v>
      </c>
      <c r="AE597" t="s">
        <v>74</v>
      </c>
      <c r="AF597" t="s">
        <v>74</v>
      </c>
      <c r="AG597">
        <v>45</v>
      </c>
      <c r="AH597">
        <v>19</v>
      </c>
      <c r="AI597">
        <v>19</v>
      </c>
      <c r="AJ597">
        <v>1</v>
      </c>
      <c r="AK597">
        <v>7</v>
      </c>
      <c r="AL597" t="s">
        <v>6711</v>
      </c>
      <c r="AM597" t="s">
        <v>246</v>
      </c>
      <c r="AN597" t="s">
        <v>6712</v>
      </c>
      <c r="AO597" t="s">
        <v>8133</v>
      </c>
      <c r="AP597" t="s">
        <v>74</v>
      </c>
      <c r="AQ597" t="s">
        <v>74</v>
      </c>
      <c r="AR597" t="s">
        <v>8134</v>
      </c>
      <c r="AS597" t="s">
        <v>8135</v>
      </c>
      <c r="AT597" t="s">
        <v>7461</v>
      </c>
      <c r="AU597">
        <v>2000</v>
      </c>
      <c r="AV597">
        <v>13</v>
      </c>
      <c r="AW597">
        <v>10</v>
      </c>
      <c r="AX597" t="s">
        <v>74</v>
      </c>
      <c r="AY597" t="s">
        <v>74</v>
      </c>
      <c r="AZ597" t="s">
        <v>74</v>
      </c>
      <c r="BA597" t="s">
        <v>74</v>
      </c>
      <c r="BB597">
        <v>711</v>
      </c>
      <c r="BC597">
        <v>717</v>
      </c>
      <c r="BD597" t="s">
        <v>74</v>
      </c>
      <c r="BE597" t="s">
        <v>8136</v>
      </c>
      <c r="BF597" t="str">
        <f>HYPERLINK("http://dx.doi.org/10.1093/protein/13.10.711","http://dx.doi.org/10.1093/protein/13.10.711")</f>
        <v>http://dx.doi.org/10.1093/protein/13.10.711</v>
      </c>
      <c r="BG597" t="s">
        <v>74</v>
      </c>
      <c r="BH597" t="s">
        <v>74</v>
      </c>
      <c r="BI597">
        <v>7</v>
      </c>
      <c r="BJ597" t="s">
        <v>8137</v>
      </c>
      <c r="BK597" t="s">
        <v>94</v>
      </c>
      <c r="BL597" t="s">
        <v>8137</v>
      </c>
      <c r="BM597" t="s">
        <v>8138</v>
      </c>
      <c r="BN597">
        <v>11112510</v>
      </c>
      <c r="BO597" t="s">
        <v>1755</v>
      </c>
      <c r="BP597" t="s">
        <v>74</v>
      </c>
      <c r="BQ597" t="s">
        <v>74</v>
      </c>
      <c r="BR597" t="s">
        <v>97</v>
      </c>
      <c r="BS597" t="s">
        <v>8139</v>
      </c>
      <c r="BT597" t="str">
        <f>HYPERLINK("https%3A%2F%2Fwww.webofscience.com%2Fwos%2Fwoscc%2Ffull-record%2FWOS:000165995500007","View Full Record in Web of Science")</f>
        <v>View Full Record in Web of Science</v>
      </c>
    </row>
    <row r="598" spans="1:72" x14ac:dyDescent="0.15">
      <c r="A598" t="s">
        <v>72</v>
      </c>
      <c r="B598" t="s">
        <v>8140</v>
      </c>
      <c r="C598" t="s">
        <v>74</v>
      </c>
      <c r="D598" t="s">
        <v>74</v>
      </c>
      <c r="E598" t="s">
        <v>74</v>
      </c>
      <c r="F598" t="s">
        <v>8140</v>
      </c>
      <c r="G598" t="s">
        <v>74</v>
      </c>
      <c r="H598" t="s">
        <v>74</v>
      </c>
      <c r="I598" t="s">
        <v>8141</v>
      </c>
      <c r="J598" t="s">
        <v>8142</v>
      </c>
      <c r="K598" t="s">
        <v>74</v>
      </c>
      <c r="L598" t="s">
        <v>74</v>
      </c>
      <c r="M598" t="s">
        <v>77</v>
      </c>
      <c r="N598" t="s">
        <v>6591</v>
      </c>
      <c r="O598" t="s">
        <v>74</v>
      </c>
      <c r="P598" t="s">
        <v>74</v>
      </c>
      <c r="Q598" t="s">
        <v>74</v>
      </c>
      <c r="R598" t="s">
        <v>74</v>
      </c>
      <c r="S598" t="s">
        <v>74</v>
      </c>
      <c r="T598" t="s">
        <v>74</v>
      </c>
      <c r="U598" t="s">
        <v>74</v>
      </c>
      <c r="V598" t="s">
        <v>74</v>
      </c>
      <c r="W598" t="s">
        <v>74</v>
      </c>
      <c r="X598" t="s">
        <v>74</v>
      </c>
      <c r="Y598" t="s">
        <v>74</v>
      </c>
      <c r="Z598" t="s">
        <v>74</v>
      </c>
      <c r="AA598" t="s">
        <v>8143</v>
      </c>
      <c r="AB598" t="s">
        <v>8144</v>
      </c>
      <c r="AC598" t="s">
        <v>74</v>
      </c>
      <c r="AD598" t="s">
        <v>74</v>
      </c>
      <c r="AE598" t="s">
        <v>74</v>
      </c>
      <c r="AF598" t="s">
        <v>74</v>
      </c>
      <c r="AG598">
        <v>1</v>
      </c>
      <c r="AH598">
        <v>0</v>
      </c>
      <c r="AI598">
        <v>0</v>
      </c>
      <c r="AJ598">
        <v>0</v>
      </c>
      <c r="AK598">
        <v>4</v>
      </c>
      <c r="AL598" t="s">
        <v>3736</v>
      </c>
      <c r="AM598" t="s">
        <v>3737</v>
      </c>
      <c r="AN598" t="s">
        <v>3738</v>
      </c>
      <c r="AO598" t="s">
        <v>8145</v>
      </c>
      <c r="AP598" t="s">
        <v>74</v>
      </c>
      <c r="AQ598" t="s">
        <v>74</v>
      </c>
      <c r="AR598" t="s">
        <v>8146</v>
      </c>
      <c r="AS598" t="s">
        <v>8147</v>
      </c>
      <c r="AT598" t="s">
        <v>7461</v>
      </c>
      <c r="AU598">
        <v>2000</v>
      </c>
      <c r="AV598">
        <v>23</v>
      </c>
      <c r="AW598">
        <v>3</v>
      </c>
      <c r="AX598" t="s">
        <v>74</v>
      </c>
      <c r="AY598" t="s">
        <v>74</v>
      </c>
      <c r="AZ598" t="s">
        <v>74</v>
      </c>
      <c r="BA598" t="s">
        <v>74</v>
      </c>
      <c r="BB598">
        <v>458</v>
      </c>
      <c r="BC598">
        <v>458</v>
      </c>
      <c r="BD598" t="s">
        <v>74</v>
      </c>
      <c r="BE598" t="s">
        <v>74</v>
      </c>
      <c r="BF598" t="s">
        <v>74</v>
      </c>
      <c r="BG598" t="s">
        <v>74</v>
      </c>
      <c r="BH598" t="s">
        <v>74</v>
      </c>
      <c r="BI598">
        <v>1</v>
      </c>
      <c r="BJ598" t="s">
        <v>3384</v>
      </c>
      <c r="BK598" t="s">
        <v>94</v>
      </c>
      <c r="BL598" t="s">
        <v>3384</v>
      </c>
      <c r="BM598" t="s">
        <v>8148</v>
      </c>
      <c r="BN598" t="s">
        <v>74</v>
      </c>
      <c r="BO598" t="s">
        <v>74</v>
      </c>
      <c r="BP598" t="s">
        <v>74</v>
      </c>
      <c r="BQ598" t="s">
        <v>74</v>
      </c>
      <c r="BR598" t="s">
        <v>97</v>
      </c>
      <c r="BS598" t="s">
        <v>8149</v>
      </c>
      <c r="BT598" t="str">
        <f>HYPERLINK("https%3A%2F%2Fwww.webofscience.com%2Fwos%2Fwoscc%2Ffull-record%2FWOS:000165706500022","View Full Record in Web of Science")</f>
        <v>View Full Record in Web of Science</v>
      </c>
    </row>
    <row r="599" spans="1:72" x14ac:dyDescent="0.15">
      <c r="A599" t="s">
        <v>72</v>
      </c>
      <c r="B599" t="s">
        <v>8150</v>
      </c>
      <c r="C599" t="s">
        <v>74</v>
      </c>
      <c r="D599" t="s">
        <v>74</v>
      </c>
      <c r="E599" t="s">
        <v>74</v>
      </c>
      <c r="F599" t="s">
        <v>8150</v>
      </c>
      <c r="G599" t="s">
        <v>74</v>
      </c>
      <c r="H599" t="s">
        <v>74</v>
      </c>
      <c r="I599" t="s">
        <v>8151</v>
      </c>
      <c r="J599" t="s">
        <v>8152</v>
      </c>
      <c r="K599" t="s">
        <v>74</v>
      </c>
      <c r="L599" t="s">
        <v>74</v>
      </c>
      <c r="M599" t="s">
        <v>77</v>
      </c>
      <c r="N599" t="s">
        <v>78</v>
      </c>
      <c r="O599" t="s">
        <v>74</v>
      </c>
      <c r="P599" t="s">
        <v>74</v>
      </c>
      <c r="Q599" t="s">
        <v>74</v>
      </c>
      <c r="R599" t="s">
        <v>74</v>
      </c>
      <c r="S599" t="s">
        <v>74</v>
      </c>
      <c r="T599" t="s">
        <v>8153</v>
      </c>
      <c r="U599" t="s">
        <v>8154</v>
      </c>
      <c r="V599" t="s">
        <v>8155</v>
      </c>
      <c r="W599" t="s">
        <v>8156</v>
      </c>
      <c r="X599" t="s">
        <v>8157</v>
      </c>
      <c r="Y599" t="s">
        <v>8158</v>
      </c>
      <c r="Z599" t="s">
        <v>74</v>
      </c>
      <c r="AA599" t="s">
        <v>74</v>
      </c>
      <c r="AB599" t="s">
        <v>74</v>
      </c>
      <c r="AC599" t="s">
        <v>74</v>
      </c>
      <c r="AD599" t="s">
        <v>74</v>
      </c>
      <c r="AE599" t="s">
        <v>74</v>
      </c>
      <c r="AF599" t="s">
        <v>74</v>
      </c>
      <c r="AG599">
        <v>85</v>
      </c>
      <c r="AH599">
        <v>16</v>
      </c>
      <c r="AI599">
        <v>18</v>
      </c>
      <c r="AJ599">
        <v>1</v>
      </c>
      <c r="AK599">
        <v>7</v>
      </c>
      <c r="AL599" t="s">
        <v>737</v>
      </c>
      <c r="AM599" t="s">
        <v>738</v>
      </c>
      <c r="AN599" t="s">
        <v>739</v>
      </c>
      <c r="AO599" t="s">
        <v>8159</v>
      </c>
      <c r="AP599" t="s">
        <v>74</v>
      </c>
      <c r="AQ599" t="s">
        <v>74</v>
      </c>
      <c r="AR599" t="s">
        <v>8160</v>
      </c>
      <c r="AS599" t="s">
        <v>8161</v>
      </c>
      <c r="AT599" t="s">
        <v>7461</v>
      </c>
      <c r="AU599">
        <v>2000</v>
      </c>
      <c r="AV599">
        <v>123</v>
      </c>
      <c r="AW599" t="s">
        <v>4018</v>
      </c>
      <c r="AX599" t="s">
        <v>74</v>
      </c>
      <c r="AY599" t="s">
        <v>74</v>
      </c>
      <c r="AZ599" t="s">
        <v>74</v>
      </c>
      <c r="BA599" t="s">
        <v>74</v>
      </c>
      <c r="BB599">
        <v>229</v>
      </c>
      <c r="BC599">
        <v>244</v>
      </c>
      <c r="BD599" t="s">
        <v>74</v>
      </c>
      <c r="BE599" t="s">
        <v>8162</v>
      </c>
      <c r="BF599" t="str">
        <f>HYPERLINK("http://dx.doi.org/10.1023/A:1005267321567","http://dx.doi.org/10.1023/A:1005267321567")</f>
        <v>http://dx.doi.org/10.1023/A:1005267321567</v>
      </c>
      <c r="BG599" t="s">
        <v>74</v>
      </c>
      <c r="BH599" t="s">
        <v>74</v>
      </c>
      <c r="BI599">
        <v>16</v>
      </c>
      <c r="BJ599" t="s">
        <v>8163</v>
      </c>
      <c r="BK599" t="s">
        <v>94</v>
      </c>
      <c r="BL599" t="s">
        <v>8164</v>
      </c>
      <c r="BM599" t="s">
        <v>8165</v>
      </c>
      <c r="BN599" t="s">
        <v>74</v>
      </c>
      <c r="BO599" t="s">
        <v>74</v>
      </c>
      <c r="BP599" t="s">
        <v>74</v>
      </c>
      <c r="BQ599" t="s">
        <v>74</v>
      </c>
      <c r="BR599" t="s">
        <v>97</v>
      </c>
      <c r="BS599" t="s">
        <v>8166</v>
      </c>
      <c r="BT599" t="str">
        <f>HYPERLINK("https%3A%2F%2Fwww.webofscience.com%2Fwos%2Fwoscc%2Ffull-record%2FWOS:000089881000021","View Full Record in Web of Science")</f>
        <v>View Full Record in Web of Science</v>
      </c>
    </row>
    <row r="600" spans="1:72" x14ac:dyDescent="0.15">
      <c r="A600" t="s">
        <v>72</v>
      </c>
      <c r="B600" t="s">
        <v>8167</v>
      </c>
      <c r="C600" t="s">
        <v>74</v>
      </c>
      <c r="D600" t="s">
        <v>74</v>
      </c>
      <c r="E600" t="s">
        <v>74</v>
      </c>
      <c r="F600" t="s">
        <v>8167</v>
      </c>
      <c r="G600" t="s">
        <v>74</v>
      </c>
      <c r="H600" t="s">
        <v>74</v>
      </c>
      <c r="I600" t="s">
        <v>8168</v>
      </c>
      <c r="J600" t="s">
        <v>8169</v>
      </c>
      <c r="K600" t="s">
        <v>74</v>
      </c>
      <c r="L600" t="s">
        <v>74</v>
      </c>
      <c r="M600" t="s">
        <v>77</v>
      </c>
      <c r="N600" t="s">
        <v>236</v>
      </c>
      <c r="O600" t="s">
        <v>74</v>
      </c>
      <c r="P600" t="s">
        <v>74</v>
      </c>
      <c r="Q600" t="s">
        <v>74</v>
      </c>
      <c r="R600" t="s">
        <v>74</v>
      </c>
      <c r="S600" t="s">
        <v>74</v>
      </c>
      <c r="T600" t="s">
        <v>8170</v>
      </c>
      <c r="U600" t="s">
        <v>8171</v>
      </c>
      <c r="V600" t="s">
        <v>8172</v>
      </c>
      <c r="W600" t="s">
        <v>885</v>
      </c>
      <c r="X600" t="s">
        <v>221</v>
      </c>
      <c r="Y600" t="s">
        <v>8173</v>
      </c>
      <c r="Z600" t="s">
        <v>74</v>
      </c>
      <c r="AA600" t="s">
        <v>887</v>
      </c>
      <c r="AB600" t="s">
        <v>888</v>
      </c>
      <c r="AC600" t="s">
        <v>74</v>
      </c>
      <c r="AD600" t="s">
        <v>74</v>
      </c>
      <c r="AE600" t="s">
        <v>74</v>
      </c>
      <c r="AF600" t="s">
        <v>74</v>
      </c>
      <c r="AG600">
        <v>113</v>
      </c>
      <c r="AH600">
        <v>36</v>
      </c>
      <c r="AI600">
        <v>37</v>
      </c>
      <c r="AJ600">
        <v>0</v>
      </c>
      <c r="AK600">
        <v>8</v>
      </c>
      <c r="AL600" t="s">
        <v>6711</v>
      </c>
      <c r="AM600" t="s">
        <v>246</v>
      </c>
      <c r="AN600" t="s">
        <v>6712</v>
      </c>
      <c r="AO600" t="s">
        <v>8174</v>
      </c>
      <c r="AP600" t="s">
        <v>8175</v>
      </c>
      <c r="AQ600" t="s">
        <v>74</v>
      </c>
      <c r="AR600" t="s">
        <v>8176</v>
      </c>
      <c r="AS600" t="s">
        <v>8177</v>
      </c>
      <c r="AT600" t="s">
        <v>7461</v>
      </c>
      <c r="AU600">
        <v>2000</v>
      </c>
      <c r="AV600">
        <v>130</v>
      </c>
      <c r="AW600">
        <v>2</v>
      </c>
      <c r="AX600" t="s">
        <v>74</v>
      </c>
      <c r="AY600" t="s">
        <v>74</v>
      </c>
      <c r="AZ600" t="s">
        <v>74</v>
      </c>
      <c r="BA600" t="s">
        <v>74</v>
      </c>
      <c r="BB600">
        <v>309</v>
      </c>
      <c r="BC600">
        <v>328</v>
      </c>
      <c r="BD600" t="s">
        <v>74</v>
      </c>
      <c r="BE600" t="s">
        <v>8178</v>
      </c>
      <c r="BF600" t="str">
        <f>HYPERLINK("http://dx.doi.org/10.1006/zjls.1999.0219","http://dx.doi.org/10.1006/zjls.1999.0219")</f>
        <v>http://dx.doi.org/10.1006/zjls.1999.0219</v>
      </c>
      <c r="BG600" t="s">
        <v>74</v>
      </c>
      <c r="BH600" t="s">
        <v>74</v>
      </c>
      <c r="BI600">
        <v>20</v>
      </c>
      <c r="BJ600" t="s">
        <v>206</v>
      </c>
      <c r="BK600" t="s">
        <v>94</v>
      </c>
      <c r="BL600" t="s">
        <v>206</v>
      </c>
      <c r="BM600" t="s">
        <v>8179</v>
      </c>
      <c r="BN600" t="s">
        <v>74</v>
      </c>
      <c r="BO600" t="s">
        <v>1755</v>
      </c>
      <c r="BP600" t="s">
        <v>74</v>
      </c>
      <c r="BQ600" t="s">
        <v>74</v>
      </c>
      <c r="BR600" t="s">
        <v>97</v>
      </c>
      <c r="BS600" t="s">
        <v>8180</v>
      </c>
      <c r="BT600" t="str">
        <f>HYPERLINK("https%3A%2F%2Fwww.webofscience.com%2Fwos%2Fwoscc%2Ffull-record%2FWOS:000089962400005","View Full Record in Web of Science")</f>
        <v>View Full Record in Web of Science</v>
      </c>
    </row>
    <row r="601" spans="1:72" x14ac:dyDescent="0.15">
      <c r="A601" t="s">
        <v>72</v>
      </c>
      <c r="B601" t="s">
        <v>8181</v>
      </c>
      <c r="C601" t="s">
        <v>74</v>
      </c>
      <c r="D601" t="s">
        <v>74</v>
      </c>
      <c r="E601" t="s">
        <v>74</v>
      </c>
      <c r="F601" t="s">
        <v>8181</v>
      </c>
      <c r="G601" t="s">
        <v>74</v>
      </c>
      <c r="H601" t="s">
        <v>74</v>
      </c>
      <c r="I601" t="s">
        <v>8182</v>
      </c>
      <c r="J601" t="s">
        <v>4671</v>
      </c>
      <c r="K601" t="s">
        <v>74</v>
      </c>
      <c r="L601" t="s">
        <v>74</v>
      </c>
      <c r="M601" t="s">
        <v>77</v>
      </c>
      <c r="N601" t="s">
        <v>78</v>
      </c>
      <c r="O601" t="s">
        <v>74</v>
      </c>
      <c r="P601" t="s">
        <v>74</v>
      </c>
      <c r="Q601" t="s">
        <v>74</v>
      </c>
      <c r="R601" t="s">
        <v>74</v>
      </c>
      <c r="S601" t="s">
        <v>74</v>
      </c>
      <c r="T601" t="s">
        <v>8183</v>
      </c>
      <c r="U601" t="s">
        <v>8184</v>
      </c>
      <c r="V601" t="s">
        <v>8185</v>
      </c>
      <c r="W601" t="s">
        <v>8186</v>
      </c>
      <c r="X601" t="s">
        <v>8187</v>
      </c>
      <c r="Y601" t="s">
        <v>8188</v>
      </c>
      <c r="Z601" t="s">
        <v>8189</v>
      </c>
      <c r="AA601" t="s">
        <v>8190</v>
      </c>
      <c r="AB601" t="s">
        <v>8191</v>
      </c>
      <c r="AC601" t="s">
        <v>74</v>
      </c>
      <c r="AD601" t="s">
        <v>74</v>
      </c>
      <c r="AE601" t="s">
        <v>74</v>
      </c>
      <c r="AF601" t="s">
        <v>74</v>
      </c>
      <c r="AG601">
        <v>47</v>
      </c>
      <c r="AH601">
        <v>70</v>
      </c>
      <c r="AI601">
        <v>77</v>
      </c>
      <c r="AJ601">
        <v>2</v>
      </c>
      <c r="AK601">
        <v>32</v>
      </c>
      <c r="AL601" t="s">
        <v>1823</v>
      </c>
      <c r="AM601" t="s">
        <v>1121</v>
      </c>
      <c r="AN601" t="s">
        <v>1824</v>
      </c>
      <c r="AO601" t="s">
        <v>4680</v>
      </c>
      <c r="AP601" t="s">
        <v>4681</v>
      </c>
      <c r="AQ601" t="s">
        <v>74</v>
      </c>
      <c r="AR601" t="s">
        <v>4682</v>
      </c>
      <c r="AS601" t="s">
        <v>4683</v>
      </c>
      <c r="AT601" t="s">
        <v>8192</v>
      </c>
      <c r="AU601">
        <v>2000</v>
      </c>
      <c r="AV601">
        <v>181</v>
      </c>
      <c r="AW601">
        <v>4</v>
      </c>
      <c r="AX601" t="s">
        <v>74</v>
      </c>
      <c r="AY601" t="s">
        <v>74</v>
      </c>
      <c r="AZ601" t="s">
        <v>74</v>
      </c>
      <c r="BA601" t="s">
        <v>74</v>
      </c>
      <c r="BB601">
        <v>513</v>
      </c>
      <c r="BC601">
        <v>527</v>
      </c>
      <c r="BD601" t="s">
        <v>74</v>
      </c>
      <c r="BE601" t="s">
        <v>8193</v>
      </c>
      <c r="BF601" t="str">
        <f>HYPERLINK("http://dx.doi.org/10.1016/S0012-821X(00)00223-5","http://dx.doi.org/10.1016/S0012-821X(00)00223-5")</f>
        <v>http://dx.doi.org/10.1016/S0012-821X(00)00223-5</v>
      </c>
      <c r="BG601" t="s">
        <v>74</v>
      </c>
      <c r="BH601" t="s">
        <v>74</v>
      </c>
      <c r="BI601">
        <v>15</v>
      </c>
      <c r="BJ601" t="s">
        <v>953</v>
      </c>
      <c r="BK601" t="s">
        <v>94</v>
      </c>
      <c r="BL601" t="s">
        <v>953</v>
      </c>
      <c r="BM601" t="s">
        <v>8194</v>
      </c>
      <c r="BN601" t="s">
        <v>74</v>
      </c>
      <c r="BO601" t="s">
        <v>74</v>
      </c>
      <c r="BP601" t="s">
        <v>74</v>
      </c>
      <c r="BQ601" t="s">
        <v>74</v>
      </c>
      <c r="BR601" t="s">
        <v>97</v>
      </c>
      <c r="BS601" t="s">
        <v>8195</v>
      </c>
      <c r="BT601" t="str">
        <f>HYPERLINK("https%3A%2F%2Fwww.webofscience.com%2Fwos%2Fwoscc%2Ffull-record%2FWOS:000089551300004","View Full Record in Web of Science")</f>
        <v>View Full Record in Web of Science</v>
      </c>
    </row>
    <row r="602" spans="1:72" x14ac:dyDescent="0.15">
      <c r="A602" t="s">
        <v>72</v>
      </c>
      <c r="B602" t="s">
        <v>8196</v>
      </c>
      <c r="C602" t="s">
        <v>74</v>
      </c>
      <c r="D602" t="s">
        <v>74</v>
      </c>
      <c r="E602" t="s">
        <v>74</v>
      </c>
      <c r="F602" t="s">
        <v>8196</v>
      </c>
      <c r="G602" t="s">
        <v>74</v>
      </c>
      <c r="H602" t="s">
        <v>74</v>
      </c>
      <c r="I602" t="s">
        <v>8197</v>
      </c>
      <c r="J602" t="s">
        <v>7354</v>
      </c>
      <c r="K602" t="s">
        <v>74</v>
      </c>
      <c r="L602" t="s">
        <v>74</v>
      </c>
      <c r="M602" t="s">
        <v>77</v>
      </c>
      <c r="N602" t="s">
        <v>78</v>
      </c>
      <c r="O602" t="s">
        <v>74</v>
      </c>
      <c r="P602" t="s">
        <v>74</v>
      </c>
      <c r="Q602" t="s">
        <v>74</v>
      </c>
      <c r="R602" t="s">
        <v>74</v>
      </c>
      <c r="S602" t="s">
        <v>74</v>
      </c>
      <c r="T602" t="s">
        <v>74</v>
      </c>
      <c r="U602" t="s">
        <v>8198</v>
      </c>
      <c r="V602" t="s">
        <v>8199</v>
      </c>
      <c r="W602" t="s">
        <v>8200</v>
      </c>
      <c r="X602" t="s">
        <v>8201</v>
      </c>
      <c r="Y602" t="s">
        <v>8202</v>
      </c>
      <c r="Z602" t="s">
        <v>8203</v>
      </c>
      <c r="AA602" t="s">
        <v>8204</v>
      </c>
      <c r="AB602" t="s">
        <v>74</v>
      </c>
      <c r="AC602" t="s">
        <v>74</v>
      </c>
      <c r="AD602" t="s">
        <v>74</v>
      </c>
      <c r="AE602" t="s">
        <v>74</v>
      </c>
      <c r="AF602" t="s">
        <v>74</v>
      </c>
      <c r="AG602">
        <v>30</v>
      </c>
      <c r="AH602">
        <v>81</v>
      </c>
      <c r="AI602">
        <v>93</v>
      </c>
      <c r="AJ602">
        <v>1</v>
      </c>
      <c r="AK602">
        <v>39</v>
      </c>
      <c r="AL602" t="s">
        <v>8205</v>
      </c>
      <c r="AM602" t="s">
        <v>1208</v>
      </c>
      <c r="AN602" t="s">
        <v>8206</v>
      </c>
      <c r="AO602" t="s">
        <v>7364</v>
      </c>
      <c r="AP602" t="s">
        <v>8207</v>
      </c>
      <c r="AQ602" t="s">
        <v>74</v>
      </c>
      <c r="AR602" t="s">
        <v>7354</v>
      </c>
      <c r="AS602" t="s">
        <v>7365</v>
      </c>
      <c r="AT602" t="s">
        <v>8208</v>
      </c>
      <c r="AU602">
        <v>2000</v>
      </c>
      <c r="AV602">
        <v>407</v>
      </c>
      <c r="AW602">
        <v>6803</v>
      </c>
      <c r="AX602" t="s">
        <v>74</v>
      </c>
      <c r="AY602" t="s">
        <v>74</v>
      </c>
      <c r="AZ602" t="s">
        <v>74</v>
      </c>
      <c r="BA602" t="s">
        <v>74</v>
      </c>
      <c r="BB602">
        <v>499</v>
      </c>
      <c r="BC602">
        <v>502</v>
      </c>
      <c r="BD602" t="s">
        <v>74</v>
      </c>
      <c r="BE602" t="s">
        <v>8209</v>
      </c>
      <c r="BF602" t="str">
        <f>HYPERLINK("http://dx.doi.org/10.1038/35035054","http://dx.doi.org/10.1038/35035054")</f>
        <v>http://dx.doi.org/10.1038/35035054</v>
      </c>
      <c r="BG602" t="s">
        <v>74</v>
      </c>
      <c r="BH602" t="s">
        <v>74</v>
      </c>
      <c r="BI602">
        <v>5</v>
      </c>
      <c r="BJ602" t="s">
        <v>93</v>
      </c>
      <c r="BK602" t="s">
        <v>94</v>
      </c>
      <c r="BL602" t="s">
        <v>95</v>
      </c>
      <c r="BM602" t="s">
        <v>8210</v>
      </c>
      <c r="BN602">
        <v>11028998</v>
      </c>
      <c r="BO602" t="s">
        <v>74</v>
      </c>
      <c r="BP602" t="s">
        <v>74</v>
      </c>
      <c r="BQ602" t="s">
        <v>74</v>
      </c>
      <c r="BR602" t="s">
        <v>97</v>
      </c>
      <c r="BS602" t="s">
        <v>8211</v>
      </c>
      <c r="BT602" t="str">
        <f>HYPERLINK("https%3A%2F%2Fwww.webofscience.com%2Fwos%2Fwoscc%2Ffull-record%2FWOS:000089727400046","View Full Record in Web of Science")</f>
        <v>View Full Record in Web of Science</v>
      </c>
    </row>
    <row r="603" spans="1:72" x14ac:dyDescent="0.15">
      <c r="A603" t="s">
        <v>72</v>
      </c>
      <c r="B603" t="s">
        <v>8212</v>
      </c>
      <c r="C603" t="s">
        <v>74</v>
      </c>
      <c r="D603" t="s">
        <v>74</v>
      </c>
      <c r="E603" t="s">
        <v>74</v>
      </c>
      <c r="F603" t="s">
        <v>8212</v>
      </c>
      <c r="G603" t="s">
        <v>74</v>
      </c>
      <c r="H603" t="s">
        <v>74</v>
      </c>
      <c r="I603" t="s">
        <v>8213</v>
      </c>
      <c r="J603" t="s">
        <v>4772</v>
      </c>
      <c r="K603" t="s">
        <v>74</v>
      </c>
      <c r="L603" t="s">
        <v>74</v>
      </c>
      <c r="M603" t="s">
        <v>77</v>
      </c>
      <c r="N603" t="s">
        <v>78</v>
      </c>
      <c r="O603" t="s">
        <v>74</v>
      </c>
      <c r="P603" t="s">
        <v>74</v>
      </c>
      <c r="Q603" t="s">
        <v>74</v>
      </c>
      <c r="R603" t="s">
        <v>74</v>
      </c>
      <c r="S603" t="s">
        <v>74</v>
      </c>
      <c r="T603" t="s">
        <v>74</v>
      </c>
      <c r="U603" t="s">
        <v>8214</v>
      </c>
      <c r="V603" t="s">
        <v>8215</v>
      </c>
      <c r="W603" t="s">
        <v>8216</v>
      </c>
      <c r="X603" t="s">
        <v>8217</v>
      </c>
      <c r="Y603" t="s">
        <v>8218</v>
      </c>
      <c r="Z603" t="s">
        <v>8219</v>
      </c>
      <c r="AA603" t="s">
        <v>8220</v>
      </c>
      <c r="AB603" t="s">
        <v>8221</v>
      </c>
      <c r="AC603" t="s">
        <v>74</v>
      </c>
      <c r="AD603" t="s">
        <v>74</v>
      </c>
      <c r="AE603" t="s">
        <v>74</v>
      </c>
      <c r="AF603" t="s">
        <v>74</v>
      </c>
      <c r="AG603">
        <v>86</v>
      </c>
      <c r="AH603">
        <v>38</v>
      </c>
      <c r="AI603">
        <v>42</v>
      </c>
      <c r="AJ603">
        <v>0</v>
      </c>
      <c r="AK603">
        <v>2</v>
      </c>
      <c r="AL603" t="s">
        <v>1059</v>
      </c>
      <c r="AM603" t="s">
        <v>1060</v>
      </c>
      <c r="AN603" t="s">
        <v>1061</v>
      </c>
      <c r="AO603" t="s">
        <v>4798</v>
      </c>
      <c r="AP603" t="s">
        <v>4799</v>
      </c>
      <c r="AQ603" t="s">
        <v>74</v>
      </c>
      <c r="AR603" t="s">
        <v>4781</v>
      </c>
      <c r="AS603" t="s">
        <v>4782</v>
      </c>
      <c r="AT603" t="s">
        <v>8222</v>
      </c>
      <c r="AU603">
        <v>2000</v>
      </c>
      <c r="AV603">
        <v>105</v>
      </c>
      <c r="AW603" t="s">
        <v>8223</v>
      </c>
      <c r="AX603" t="s">
        <v>74</v>
      </c>
      <c r="AY603" t="s">
        <v>74</v>
      </c>
      <c r="AZ603" t="s">
        <v>74</v>
      </c>
      <c r="BA603" t="s">
        <v>74</v>
      </c>
      <c r="BB603">
        <v>22713</v>
      </c>
      <c r="BC603">
        <v>22724</v>
      </c>
      <c r="BD603" t="s">
        <v>74</v>
      </c>
      <c r="BE603" t="s">
        <v>8224</v>
      </c>
      <c r="BF603" t="str">
        <f>HYPERLINK("http://dx.doi.org/10.1029/2000JD900336","http://dx.doi.org/10.1029/2000JD900336")</f>
        <v>http://dx.doi.org/10.1029/2000JD900336</v>
      </c>
      <c r="BG603" t="s">
        <v>74</v>
      </c>
      <c r="BH603" t="s">
        <v>74</v>
      </c>
      <c r="BI603">
        <v>12</v>
      </c>
      <c r="BJ603" t="s">
        <v>167</v>
      </c>
      <c r="BK603" t="s">
        <v>94</v>
      </c>
      <c r="BL603" t="s">
        <v>167</v>
      </c>
      <c r="BM603" t="s">
        <v>8225</v>
      </c>
      <c r="BN603" t="s">
        <v>74</v>
      </c>
      <c r="BO603" t="s">
        <v>1755</v>
      </c>
      <c r="BP603" t="s">
        <v>74</v>
      </c>
      <c r="BQ603" t="s">
        <v>74</v>
      </c>
      <c r="BR603" t="s">
        <v>97</v>
      </c>
      <c r="BS603" t="s">
        <v>8226</v>
      </c>
      <c r="BT603" t="str">
        <f>HYPERLINK("https%3A%2F%2Fwww.webofscience.com%2Fwos%2Fwoscc%2Ffull-record%2FWOS:000089598000004","View Full Record in Web of Science")</f>
        <v>View Full Record in Web of Science</v>
      </c>
    </row>
    <row r="604" spans="1:72" x14ac:dyDescent="0.15">
      <c r="A604" t="s">
        <v>72</v>
      </c>
      <c r="B604" t="s">
        <v>8227</v>
      </c>
      <c r="C604" t="s">
        <v>74</v>
      </c>
      <c r="D604" t="s">
        <v>74</v>
      </c>
      <c r="E604" t="s">
        <v>74</v>
      </c>
      <c r="F604" t="s">
        <v>8227</v>
      </c>
      <c r="G604" t="s">
        <v>74</v>
      </c>
      <c r="H604" t="s">
        <v>74</v>
      </c>
      <c r="I604" t="s">
        <v>8228</v>
      </c>
      <c r="J604" t="s">
        <v>4772</v>
      </c>
      <c r="K604" t="s">
        <v>74</v>
      </c>
      <c r="L604" t="s">
        <v>74</v>
      </c>
      <c r="M604" t="s">
        <v>77</v>
      </c>
      <c r="N604" t="s">
        <v>78</v>
      </c>
      <c r="O604" t="s">
        <v>74</v>
      </c>
      <c r="P604" t="s">
        <v>74</v>
      </c>
      <c r="Q604" t="s">
        <v>74</v>
      </c>
      <c r="R604" t="s">
        <v>74</v>
      </c>
      <c r="S604" t="s">
        <v>74</v>
      </c>
      <c r="T604" t="s">
        <v>74</v>
      </c>
      <c r="U604" t="s">
        <v>8229</v>
      </c>
      <c r="V604" t="s">
        <v>8230</v>
      </c>
      <c r="W604" t="s">
        <v>8231</v>
      </c>
      <c r="X604" t="s">
        <v>8232</v>
      </c>
      <c r="Y604" t="s">
        <v>8233</v>
      </c>
      <c r="Z604" t="s">
        <v>8234</v>
      </c>
      <c r="AA604" t="s">
        <v>74</v>
      </c>
      <c r="AB604" t="s">
        <v>74</v>
      </c>
      <c r="AC604" t="s">
        <v>74</v>
      </c>
      <c r="AD604" t="s">
        <v>74</v>
      </c>
      <c r="AE604" t="s">
        <v>74</v>
      </c>
      <c r="AF604" t="s">
        <v>74</v>
      </c>
      <c r="AG604">
        <v>17</v>
      </c>
      <c r="AH604">
        <v>23</v>
      </c>
      <c r="AI604">
        <v>23</v>
      </c>
      <c r="AJ604">
        <v>0</v>
      </c>
      <c r="AK604">
        <v>3</v>
      </c>
      <c r="AL604" t="s">
        <v>1059</v>
      </c>
      <c r="AM604" t="s">
        <v>1060</v>
      </c>
      <c r="AN604" t="s">
        <v>1061</v>
      </c>
      <c r="AO604" t="s">
        <v>4798</v>
      </c>
      <c r="AP604" t="s">
        <v>4799</v>
      </c>
      <c r="AQ604" t="s">
        <v>74</v>
      </c>
      <c r="AR604" t="s">
        <v>4781</v>
      </c>
      <c r="AS604" t="s">
        <v>4782</v>
      </c>
      <c r="AT604" t="s">
        <v>8222</v>
      </c>
      <c r="AU604">
        <v>2000</v>
      </c>
      <c r="AV604">
        <v>105</v>
      </c>
      <c r="AW604" t="s">
        <v>8223</v>
      </c>
      <c r="AX604" t="s">
        <v>74</v>
      </c>
      <c r="AY604" t="s">
        <v>74</v>
      </c>
      <c r="AZ604" t="s">
        <v>74</v>
      </c>
      <c r="BA604" t="s">
        <v>74</v>
      </c>
      <c r="BB604">
        <v>22755</v>
      </c>
      <c r="BC604">
        <v>22761</v>
      </c>
      <c r="BD604" t="s">
        <v>74</v>
      </c>
      <c r="BE604" t="s">
        <v>8235</v>
      </c>
      <c r="BF604" t="str">
        <f>HYPERLINK("http://dx.doi.org/10.1029/2000JD900344","http://dx.doi.org/10.1029/2000JD900344")</f>
        <v>http://dx.doi.org/10.1029/2000JD900344</v>
      </c>
      <c r="BG604" t="s">
        <v>74</v>
      </c>
      <c r="BH604" t="s">
        <v>74</v>
      </c>
      <c r="BI604">
        <v>7</v>
      </c>
      <c r="BJ604" t="s">
        <v>167</v>
      </c>
      <c r="BK604" t="s">
        <v>94</v>
      </c>
      <c r="BL604" t="s">
        <v>167</v>
      </c>
      <c r="BM604" t="s">
        <v>8225</v>
      </c>
      <c r="BN604" t="s">
        <v>74</v>
      </c>
      <c r="BO604" t="s">
        <v>74</v>
      </c>
      <c r="BP604" t="s">
        <v>74</v>
      </c>
      <c r="BQ604" t="s">
        <v>74</v>
      </c>
      <c r="BR604" t="s">
        <v>97</v>
      </c>
      <c r="BS604" t="s">
        <v>8236</v>
      </c>
      <c r="BT604" t="str">
        <f>HYPERLINK("https%3A%2F%2Fwww.webofscience.com%2Fwos%2Fwoscc%2Ffull-record%2FWOS:000089598000007","View Full Record in Web of Science")</f>
        <v>View Full Record in Web of Science</v>
      </c>
    </row>
    <row r="605" spans="1:72" x14ac:dyDescent="0.15">
      <c r="A605" t="s">
        <v>72</v>
      </c>
      <c r="B605" t="s">
        <v>8237</v>
      </c>
      <c r="C605" t="s">
        <v>74</v>
      </c>
      <c r="D605" t="s">
        <v>74</v>
      </c>
      <c r="E605" t="s">
        <v>74</v>
      </c>
      <c r="F605" t="s">
        <v>8237</v>
      </c>
      <c r="G605" t="s">
        <v>74</v>
      </c>
      <c r="H605" t="s">
        <v>74</v>
      </c>
      <c r="I605" t="s">
        <v>8238</v>
      </c>
      <c r="J605" t="s">
        <v>4772</v>
      </c>
      <c r="K605" t="s">
        <v>74</v>
      </c>
      <c r="L605" t="s">
        <v>74</v>
      </c>
      <c r="M605" t="s">
        <v>77</v>
      </c>
      <c r="N605" t="s">
        <v>78</v>
      </c>
      <c r="O605" t="s">
        <v>74</v>
      </c>
      <c r="P605" t="s">
        <v>74</v>
      </c>
      <c r="Q605" t="s">
        <v>74</v>
      </c>
      <c r="R605" t="s">
        <v>74</v>
      </c>
      <c r="S605" t="s">
        <v>74</v>
      </c>
      <c r="T605" t="s">
        <v>74</v>
      </c>
      <c r="U605" t="s">
        <v>8239</v>
      </c>
      <c r="V605" t="s">
        <v>8240</v>
      </c>
      <c r="W605" t="s">
        <v>8241</v>
      </c>
      <c r="X605" t="s">
        <v>8242</v>
      </c>
      <c r="Y605" t="s">
        <v>8243</v>
      </c>
      <c r="Z605" t="s">
        <v>8244</v>
      </c>
      <c r="AA605" t="s">
        <v>74</v>
      </c>
      <c r="AB605" t="s">
        <v>8245</v>
      </c>
      <c r="AC605" t="s">
        <v>74</v>
      </c>
      <c r="AD605" t="s">
        <v>74</v>
      </c>
      <c r="AE605" t="s">
        <v>74</v>
      </c>
      <c r="AF605" t="s">
        <v>74</v>
      </c>
      <c r="AG605">
        <v>44</v>
      </c>
      <c r="AH605">
        <v>185</v>
      </c>
      <c r="AI605">
        <v>191</v>
      </c>
      <c r="AJ605">
        <v>0</v>
      </c>
      <c r="AK605">
        <v>10</v>
      </c>
      <c r="AL605" t="s">
        <v>1059</v>
      </c>
      <c r="AM605" t="s">
        <v>1060</v>
      </c>
      <c r="AN605" t="s">
        <v>1061</v>
      </c>
      <c r="AO605" t="s">
        <v>4798</v>
      </c>
      <c r="AP605" t="s">
        <v>4799</v>
      </c>
      <c r="AQ605" t="s">
        <v>74</v>
      </c>
      <c r="AR605" t="s">
        <v>4781</v>
      </c>
      <c r="AS605" t="s">
        <v>4782</v>
      </c>
      <c r="AT605" t="s">
        <v>8222</v>
      </c>
      <c r="AU605">
        <v>2000</v>
      </c>
      <c r="AV605">
        <v>105</v>
      </c>
      <c r="AW605" t="s">
        <v>8223</v>
      </c>
      <c r="AX605" t="s">
        <v>74</v>
      </c>
      <c r="AY605" t="s">
        <v>74</v>
      </c>
      <c r="AZ605" t="s">
        <v>74</v>
      </c>
      <c r="BA605" t="s">
        <v>74</v>
      </c>
      <c r="BB605">
        <v>22777</v>
      </c>
      <c r="BC605">
        <v>22794</v>
      </c>
      <c r="BD605" t="s">
        <v>74</v>
      </c>
      <c r="BE605" t="s">
        <v>8246</v>
      </c>
      <c r="BF605" t="str">
        <f>HYPERLINK("http://dx.doi.org/10.1029/2000JD900093","http://dx.doi.org/10.1029/2000JD900093")</f>
        <v>http://dx.doi.org/10.1029/2000JD900093</v>
      </c>
      <c r="BG605" t="s">
        <v>74</v>
      </c>
      <c r="BH605" t="s">
        <v>74</v>
      </c>
      <c r="BI605">
        <v>18</v>
      </c>
      <c r="BJ605" t="s">
        <v>167</v>
      </c>
      <c r="BK605" t="s">
        <v>94</v>
      </c>
      <c r="BL605" t="s">
        <v>167</v>
      </c>
      <c r="BM605" t="s">
        <v>8225</v>
      </c>
      <c r="BN605" t="s">
        <v>74</v>
      </c>
      <c r="BO605" t="s">
        <v>1755</v>
      </c>
      <c r="BP605" t="s">
        <v>74</v>
      </c>
      <c r="BQ605" t="s">
        <v>74</v>
      </c>
      <c r="BR605" t="s">
        <v>97</v>
      </c>
      <c r="BS605" t="s">
        <v>8247</v>
      </c>
      <c r="BT605" t="str">
        <f>HYPERLINK("https%3A%2F%2Fwww.webofscience.com%2Fwos%2Fwoscc%2Ffull-record%2FWOS:000089598000009","View Full Record in Web of Science")</f>
        <v>View Full Record in Web of Science</v>
      </c>
    </row>
    <row r="606" spans="1:72" x14ac:dyDescent="0.15">
      <c r="A606" t="s">
        <v>72</v>
      </c>
      <c r="B606" t="s">
        <v>8237</v>
      </c>
      <c r="C606" t="s">
        <v>74</v>
      </c>
      <c r="D606" t="s">
        <v>74</v>
      </c>
      <c r="E606" t="s">
        <v>74</v>
      </c>
      <c r="F606" t="s">
        <v>8237</v>
      </c>
      <c r="G606" t="s">
        <v>74</v>
      </c>
      <c r="H606" t="s">
        <v>74</v>
      </c>
      <c r="I606" t="s">
        <v>8248</v>
      </c>
      <c r="J606" t="s">
        <v>4772</v>
      </c>
      <c r="K606" t="s">
        <v>74</v>
      </c>
      <c r="L606" t="s">
        <v>74</v>
      </c>
      <c r="M606" t="s">
        <v>77</v>
      </c>
      <c r="N606" t="s">
        <v>78</v>
      </c>
      <c r="O606" t="s">
        <v>74</v>
      </c>
      <c r="P606" t="s">
        <v>74</v>
      </c>
      <c r="Q606" t="s">
        <v>74</v>
      </c>
      <c r="R606" t="s">
        <v>74</v>
      </c>
      <c r="S606" t="s">
        <v>74</v>
      </c>
      <c r="T606" t="s">
        <v>74</v>
      </c>
      <c r="U606" t="s">
        <v>8249</v>
      </c>
      <c r="V606" t="s">
        <v>8250</v>
      </c>
      <c r="W606" t="s">
        <v>8241</v>
      </c>
      <c r="X606" t="s">
        <v>8242</v>
      </c>
      <c r="Y606" t="s">
        <v>8243</v>
      </c>
      <c r="Z606" t="s">
        <v>8244</v>
      </c>
      <c r="AA606" t="s">
        <v>74</v>
      </c>
      <c r="AB606" t="s">
        <v>8251</v>
      </c>
      <c r="AC606" t="s">
        <v>74</v>
      </c>
      <c r="AD606" t="s">
        <v>74</v>
      </c>
      <c r="AE606" t="s">
        <v>74</v>
      </c>
      <c r="AF606" t="s">
        <v>74</v>
      </c>
      <c r="AG606">
        <v>25</v>
      </c>
      <c r="AH606">
        <v>188</v>
      </c>
      <c r="AI606">
        <v>195</v>
      </c>
      <c r="AJ606">
        <v>0</v>
      </c>
      <c r="AK606">
        <v>12</v>
      </c>
      <c r="AL606" t="s">
        <v>1059</v>
      </c>
      <c r="AM606" t="s">
        <v>1060</v>
      </c>
      <c r="AN606" t="s">
        <v>1061</v>
      </c>
      <c r="AO606" t="s">
        <v>4798</v>
      </c>
      <c r="AP606" t="s">
        <v>4799</v>
      </c>
      <c r="AQ606" t="s">
        <v>74</v>
      </c>
      <c r="AR606" t="s">
        <v>4781</v>
      </c>
      <c r="AS606" t="s">
        <v>4782</v>
      </c>
      <c r="AT606" t="s">
        <v>8222</v>
      </c>
      <c r="AU606">
        <v>2000</v>
      </c>
      <c r="AV606">
        <v>105</v>
      </c>
      <c r="AW606" t="s">
        <v>8223</v>
      </c>
      <c r="AX606" t="s">
        <v>74</v>
      </c>
      <c r="AY606" t="s">
        <v>74</v>
      </c>
      <c r="AZ606" t="s">
        <v>74</v>
      </c>
      <c r="BA606" t="s">
        <v>74</v>
      </c>
      <c r="BB606">
        <v>22795</v>
      </c>
      <c r="BC606">
        <v>22810</v>
      </c>
      <c r="BD606" t="s">
        <v>74</v>
      </c>
      <c r="BE606" t="s">
        <v>8252</v>
      </c>
      <c r="BF606" t="str">
        <f>HYPERLINK("http://dx.doi.org/10.1029/2000JD900092","http://dx.doi.org/10.1029/2000JD900092")</f>
        <v>http://dx.doi.org/10.1029/2000JD900092</v>
      </c>
      <c r="BG606" t="s">
        <v>74</v>
      </c>
      <c r="BH606" t="s">
        <v>74</v>
      </c>
      <c r="BI606">
        <v>16</v>
      </c>
      <c r="BJ606" t="s">
        <v>167</v>
      </c>
      <c r="BK606" t="s">
        <v>94</v>
      </c>
      <c r="BL606" t="s">
        <v>167</v>
      </c>
      <c r="BM606" t="s">
        <v>8225</v>
      </c>
      <c r="BN606" t="s">
        <v>74</v>
      </c>
      <c r="BO606" t="s">
        <v>74</v>
      </c>
      <c r="BP606" t="s">
        <v>74</v>
      </c>
      <c r="BQ606" t="s">
        <v>74</v>
      </c>
      <c r="BR606" t="s">
        <v>97</v>
      </c>
      <c r="BS606" t="s">
        <v>8253</v>
      </c>
      <c r="BT606" t="str">
        <f>HYPERLINK("https%3A%2F%2Fwww.webofscience.com%2Fwos%2Fwoscc%2Ffull-record%2FWOS:000089598000010","View Full Record in Web of Science")</f>
        <v>View Full Record in Web of Science</v>
      </c>
    </row>
    <row r="607" spans="1:72" x14ac:dyDescent="0.15">
      <c r="A607" t="s">
        <v>72</v>
      </c>
      <c r="B607" t="s">
        <v>8254</v>
      </c>
      <c r="C607" t="s">
        <v>74</v>
      </c>
      <c r="D607" t="s">
        <v>74</v>
      </c>
      <c r="E607" t="s">
        <v>74</v>
      </c>
      <c r="F607" t="s">
        <v>8254</v>
      </c>
      <c r="G607" t="s">
        <v>74</v>
      </c>
      <c r="H607" t="s">
        <v>74</v>
      </c>
      <c r="I607" t="s">
        <v>8255</v>
      </c>
      <c r="J607" t="s">
        <v>4824</v>
      </c>
      <c r="K607" t="s">
        <v>74</v>
      </c>
      <c r="L607" t="s">
        <v>74</v>
      </c>
      <c r="M607" t="s">
        <v>77</v>
      </c>
      <c r="N607" t="s">
        <v>78</v>
      </c>
      <c r="O607" t="s">
        <v>74</v>
      </c>
      <c r="P607" t="s">
        <v>74</v>
      </c>
      <c r="Q607" t="s">
        <v>74</v>
      </c>
      <c r="R607" t="s">
        <v>74</v>
      </c>
      <c r="S607" t="s">
        <v>74</v>
      </c>
      <c r="T607" t="s">
        <v>74</v>
      </c>
      <c r="U607" t="s">
        <v>8256</v>
      </c>
      <c r="V607" t="s">
        <v>8257</v>
      </c>
      <c r="W607" t="s">
        <v>8258</v>
      </c>
      <c r="X607" t="s">
        <v>8259</v>
      </c>
      <c r="Y607" t="s">
        <v>8260</v>
      </c>
      <c r="Z607" t="s">
        <v>74</v>
      </c>
      <c r="AA607" t="s">
        <v>74</v>
      </c>
      <c r="AB607" t="s">
        <v>74</v>
      </c>
      <c r="AC607" t="s">
        <v>74</v>
      </c>
      <c r="AD607" t="s">
        <v>74</v>
      </c>
      <c r="AE607" t="s">
        <v>74</v>
      </c>
      <c r="AF607" t="s">
        <v>74</v>
      </c>
      <c r="AG607">
        <v>27</v>
      </c>
      <c r="AH607">
        <v>4</v>
      </c>
      <c r="AI607">
        <v>5</v>
      </c>
      <c r="AJ607">
        <v>0</v>
      </c>
      <c r="AK607">
        <v>3</v>
      </c>
      <c r="AL607" t="s">
        <v>4832</v>
      </c>
      <c r="AM607" t="s">
        <v>1060</v>
      </c>
      <c r="AN607" t="s">
        <v>4833</v>
      </c>
      <c r="AO607" t="s">
        <v>4834</v>
      </c>
      <c r="AP607" t="s">
        <v>74</v>
      </c>
      <c r="AQ607" t="s">
        <v>74</v>
      </c>
      <c r="AR607" t="s">
        <v>4835</v>
      </c>
      <c r="AS607" t="s">
        <v>4836</v>
      </c>
      <c r="AT607" t="s">
        <v>8261</v>
      </c>
      <c r="AU607">
        <v>2000</v>
      </c>
      <c r="AV607">
        <v>104</v>
      </c>
      <c r="AW607">
        <v>37</v>
      </c>
      <c r="AX607" t="s">
        <v>74</v>
      </c>
      <c r="AY607" t="s">
        <v>74</v>
      </c>
      <c r="AZ607" t="s">
        <v>74</v>
      </c>
      <c r="BA607" t="s">
        <v>74</v>
      </c>
      <c r="BB607">
        <v>8489</v>
      </c>
      <c r="BC607">
        <v>8495</v>
      </c>
      <c r="BD607" t="s">
        <v>74</v>
      </c>
      <c r="BE607" t="s">
        <v>8262</v>
      </c>
      <c r="BF607" t="str">
        <f>HYPERLINK("http://dx.doi.org/10.1021/jp000815u","http://dx.doi.org/10.1021/jp000815u")</f>
        <v>http://dx.doi.org/10.1021/jp000815u</v>
      </c>
      <c r="BG607" t="s">
        <v>74</v>
      </c>
      <c r="BH607" t="s">
        <v>74</v>
      </c>
      <c r="BI607">
        <v>7</v>
      </c>
      <c r="BJ607" t="s">
        <v>4839</v>
      </c>
      <c r="BK607" t="s">
        <v>94</v>
      </c>
      <c r="BL607" t="s">
        <v>4840</v>
      </c>
      <c r="BM607" t="s">
        <v>8263</v>
      </c>
      <c r="BN607" t="s">
        <v>74</v>
      </c>
      <c r="BO607" t="s">
        <v>74</v>
      </c>
      <c r="BP607" t="s">
        <v>74</v>
      </c>
      <c r="BQ607" t="s">
        <v>74</v>
      </c>
      <c r="BR607" t="s">
        <v>97</v>
      </c>
      <c r="BS607" t="s">
        <v>8264</v>
      </c>
      <c r="BT607" t="str">
        <f>HYPERLINK("https%3A%2F%2Fwww.webofscience.com%2Fwos%2Fwoscc%2Ffull-record%2FWOS:000089383400006","View Full Record in Web of Science")</f>
        <v>View Full Record in Web of Science</v>
      </c>
    </row>
    <row r="608" spans="1:72" x14ac:dyDescent="0.15">
      <c r="A608" t="s">
        <v>72</v>
      </c>
      <c r="B608" t="s">
        <v>8265</v>
      </c>
      <c r="C608" t="s">
        <v>74</v>
      </c>
      <c r="D608" t="s">
        <v>74</v>
      </c>
      <c r="E608" t="s">
        <v>74</v>
      </c>
      <c r="F608" t="s">
        <v>8265</v>
      </c>
      <c r="G608" t="s">
        <v>74</v>
      </c>
      <c r="H608" t="s">
        <v>74</v>
      </c>
      <c r="I608" t="s">
        <v>8266</v>
      </c>
      <c r="J608" t="s">
        <v>4772</v>
      </c>
      <c r="K608" t="s">
        <v>74</v>
      </c>
      <c r="L608" t="s">
        <v>74</v>
      </c>
      <c r="M608" t="s">
        <v>77</v>
      </c>
      <c r="N608" t="s">
        <v>78</v>
      </c>
      <c r="O608" t="s">
        <v>74</v>
      </c>
      <c r="P608" t="s">
        <v>74</v>
      </c>
      <c r="Q608" t="s">
        <v>74</v>
      </c>
      <c r="R608" t="s">
        <v>74</v>
      </c>
      <c r="S608" t="s">
        <v>74</v>
      </c>
      <c r="T608" t="s">
        <v>74</v>
      </c>
      <c r="U608" t="s">
        <v>8267</v>
      </c>
      <c r="V608" t="s">
        <v>8268</v>
      </c>
      <c r="W608" t="s">
        <v>8269</v>
      </c>
      <c r="X608" t="s">
        <v>8270</v>
      </c>
      <c r="Y608" t="s">
        <v>8271</v>
      </c>
      <c r="Z608" t="s">
        <v>74</v>
      </c>
      <c r="AA608" t="s">
        <v>8272</v>
      </c>
      <c r="AB608" t="s">
        <v>8273</v>
      </c>
      <c r="AC608" t="s">
        <v>74</v>
      </c>
      <c r="AD608" t="s">
        <v>74</v>
      </c>
      <c r="AE608" t="s">
        <v>74</v>
      </c>
      <c r="AF608" t="s">
        <v>74</v>
      </c>
      <c r="AG608">
        <v>27</v>
      </c>
      <c r="AH608">
        <v>118</v>
      </c>
      <c r="AI608">
        <v>133</v>
      </c>
      <c r="AJ608">
        <v>0</v>
      </c>
      <c r="AK608">
        <v>25</v>
      </c>
      <c r="AL608" t="s">
        <v>1059</v>
      </c>
      <c r="AM608" t="s">
        <v>1060</v>
      </c>
      <c r="AN608" t="s">
        <v>1061</v>
      </c>
      <c r="AO608" t="s">
        <v>4798</v>
      </c>
      <c r="AP608" t="s">
        <v>4799</v>
      </c>
      <c r="AQ608" t="s">
        <v>74</v>
      </c>
      <c r="AR608" t="s">
        <v>4781</v>
      </c>
      <c r="AS608" t="s">
        <v>4782</v>
      </c>
      <c r="AT608" t="s">
        <v>8274</v>
      </c>
      <c r="AU608">
        <v>2000</v>
      </c>
      <c r="AV608">
        <v>105</v>
      </c>
      <c r="AW608" t="s">
        <v>8275</v>
      </c>
      <c r="AX608" t="s">
        <v>74</v>
      </c>
      <c r="AY608" t="s">
        <v>74</v>
      </c>
      <c r="AZ608" t="s">
        <v>74</v>
      </c>
      <c r="BA608" t="s">
        <v>74</v>
      </c>
      <c r="BB608">
        <v>22201</v>
      </c>
      <c r="BC608">
        <v>22210</v>
      </c>
      <c r="BD608" t="s">
        <v>74</v>
      </c>
      <c r="BE608" t="s">
        <v>8276</v>
      </c>
      <c r="BF608" t="str">
        <f>HYPERLINK("http://dx.doi.org/10.1029/2000JD900063","http://dx.doi.org/10.1029/2000JD900063")</f>
        <v>http://dx.doi.org/10.1029/2000JD900063</v>
      </c>
      <c r="BG608" t="s">
        <v>74</v>
      </c>
      <c r="BH608" t="s">
        <v>74</v>
      </c>
      <c r="BI608">
        <v>10</v>
      </c>
      <c r="BJ608" t="s">
        <v>167</v>
      </c>
      <c r="BK608" t="s">
        <v>94</v>
      </c>
      <c r="BL608" t="s">
        <v>167</v>
      </c>
      <c r="BM608" t="s">
        <v>8277</v>
      </c>
      <c r="BN608" t="s">
        <v>74</v>
      </c>
      <c r="BO608" t="s">
        <v>8278</v>
      </c>
      <c r="BP608" t="s">
        <v>74</v>
      </c>
      <c r="BQ608" t="s">
        <v>74</v>
      </c>
      <c r="BR608" t="s">
        <v>97</v>
      </c>
      <c r="BS608" t="s">
        <v>8279</v>
      </c>
      <c r="BT608" t="str">
        <f>HYPERLINK("https%3A%2F%2Fwww.webofscience.com%2Fwos%2Fwoscc%2Ffull-record%2FWOS:000089469100006","View Full Record in Web of Science")</f>
        <v>View Full Record in Web of Science</v>
      </c>
    </row>
    <row r="609" spans="1:72" x14ac:dyDescent="0.15">
      <c r="A609" t="s">
        <v>72</v>
      </c>
      <c r="B609" t="s">
        <v>8280</v>
      </c>
      <c r="C609" t="s">
        <v>74</v>
      </c>
      <c r="D609" t="s">
        <v>74</v>
      </c>
      <c r="E609" t="s">
        <v>74</v>
      </c>
      <c r="F609" t="s">
        <v>8280</v>
      </c>
      <c r="G609" t="s">
        <v>74</v>
      </c>
      <c r="H609" t="s">
        <v>74</v>
      </c>
      <c r="I609" t="s">
        <v>8281</v>
      </c>
      <c r="J609" t="s">
        <v>4671</v>
      </c>
      <c r="K609" t="s">
        <v>74</v>
      </c>
      <c r="L609" t="s">
        <v>74</v>
      </c>
      <c r="M609" t="s">
        <v>77</v>
      </c>
      <c r="N609" t="s">
        <v>78</v>
      </c>
      <c r="O609" t="s">
        <v>74</v>
      </c>
      <c r="P609" t="s">
        <v>74</v>
      </c>
      <c r="Q609" t="s">
        <v>74</v>
      </c>
      <c r="R609" t="s">
        <v>74</v>
      </c>
      <c r="S609" t="s">
        <v>74</v>
      </c>
      <c r="T609" t="s">
        <v>8282</v>
      </c>
      <c r="U609" t="s">
        <v>8283</v>
      </c>
      <c r="V609" t="s">
        <v>8284</v>
      </c>
      <c r="W609" t="s">
        <v>8285</v>
      </c>
      <c r="X609" t="s">
        <v>8286</v>
      </c>
      <c r="Y609" t="s">
        <v>8287</v>
      </c>
      <c r="Z609" t="s">
        <v>74</v>
      </c>
      <c r="AA609" t="s">
        <v>8288</v>
      </c>
      <c r="AB609" t="s">
        <v>8289</v>
      </c>
      <c r="AC609" t="s">
        <v>74</v>
      </c>
      <c r="AD609" t="s">
        <v>74</v>
      </c>
      <c r="AE609" t="s">
        <v>74</v>
      </c>
      <c r="AF609" t="s">
        <v>74</v>
      </c>
      <c r="AG609">
        <v>50</v>
      </c>
      <c r="AH609">
        <v>63</v>
      </c>
      <c r="AI609">
        <v>69</v>
      </c>
      <c r="AJ609">
        <v>2</v>
      </c>
      <c r="AK609">
        <v>32</v>
      </c>
      <c r="AL609" t="s">
        <v>1120</v>
      </c>
      <c r="AM609" t="s">
        <v>1121</v>
      </c>
      <c r="AN609" t="s">
        <v>2394</v>
      </c>
      <c r="AO609" t="s">
        <v>4680</v>
      </c>
      <c r="AP609" t="s">
        <v>74</v>
      </c>
      <c r="AQ609" t="s">
        <v>74</v>
      </c>
      <c r="AR609" t="s">
        <v>4682</v>
      </c>
      <c r="AS609" t="s">
        <v>4683</v>
      </c>
      <c r="AT609" t="s">
        <v>8290</v>
      </c>
      <c r="AU609">
        <v>2000</v>
      </c>
      <c r="AV609">
        <v>181</v>
      </c>
      <c r="AW609">
        <v>3</v>
      </c>
      <c r="AX609" t="s">
        <v>74</v>
      </c>
      <c r="AY609" t="s">
        <v>74</v>
      </c>
      <c r="AZ609" t="s">
        <v>74</v>
      </c>
      <c r="BA609" t="s">
        <v>74</v>
      </c>
      <c r="BB609">
        <v>315</v>
      </c>
      <c r="BC609">
        <v>325</v>
      </c>
      <c r="BD609" t="s">
        <v>74</v>
      </c>
      <c r="BE609" t="s">
        <v>8291</v>
      </c>
      <c r="BF609" t="str">
        <f>HYPERLINK("http://dx.doi.org/10.1016/S0012-821X(00)00205-3","http://dx.doi.org/10.1016/S0012-821X(00)00205-3")</f>
        <v>http://dx.doi.org/10.1016/S0012-821X(00)00205-3</v>
      </c>
      <c r="BG609" t="s">
        <v>74</v>
      </c>
      <c r="BH609" t="s">
        <v>74</v>
      </c>
      <c r="BI609">
        <v>11</v>
      </c>
      <c r="BJ609" t="s">
        <v>953</v>
      </c>
      <c r="BK609" t="s">
        <v>94</v>
      </c>
      <c r="BL609" t="s">
        <v>953</v>
      </c>
      <c r="BM609" t="s">
        <v>8292</v>
      </c>
      <c r="BN609" t="s">
        <v>74</v>
      </c>
      <c r="BO609" t="s">
        <v>74</v>
      </c>
      <c r="BP609" t="s">
        <v>74</v>
      </c>
      <c r="BQ609" t="s">
        <v>74</v>
      </c>
      <c r="BR609" t="s">
        <v>97</v>
      </c>
      <c r="BS609" t="s">
        <v>8293</v>
      </c>
      <c r="BT609" t="str">
        <f>HYPERLINK("https%3A%2F%2Fwww.webofscience.com%2Fwos%2Fwoscc%2Ffull-record%2FWOS:000089394200005","View Full Record in Web of Science")</f>
        <v>View Full Record in Web of Science</v>
      </c>
    </row>
    <row r="610" spans="1:72" x14ac:dyDescent="0.15">
      <c r="A610" t="s">
        <v>72</v>
      </c>
      <c r="B610" t="s">
        <v>8294</v>
      </c>
      <c r="C610" t="s">
        <v>74</v>
      </c>
      <c r="D610" t="s">
        <v>74</v>
      </c>
      <c r="E610" t="s">
        <v>74</v>
      </c>
      <c r="F610" t="s">
        <v>8294</v>
      </c>
      <c r="G610" t="s">
        <v>74</v>
      </c>
      <c r="H610" t="s">
        <v>74</v>
      </c>
      <c r="I610" t="s">
        <v>8295</v>
      </c>
      <c r="J610" t="s">
        <v>4671</v>
      </c>
      <c r="K610" t="s">
        <v>74</v>
      </c>
      <c r="L610" t="s">
        <v>74</v>
      </c>
      <c r="M610" t="s">
        <v>77</v>
      </c>
      <c r="N610" t="s">
        <v>78</v>
      </c>
      <c r="O610" t="s">
        <v>74</v>
      </c>
      <c r="P610" t="s">
        <v>74</v>
      </c>
      <c r="Q610" t="s">
        <v>74</v>
      </c>
      <c r="R610" t="s">
        <v>74</v>
      </c>
      <c r="S610" t="s">
        <v>74</v>
      </c>
      <c r="T610" t="s">
        <v>8296</v>
      </c>
      <c r="U610" t="s">
        <v>8297</v>
      </c>
      <c r="V610" t="s">
        <v>8298</v>
      </c>
      <c r="W610" t="s">
        <v>8299</v>
      </c>
      <c r="X610" t="s">
        <v>8300</v>
      </c>
      <c r="Y610" t="s">
        <v>8301</v>
      </c>
      <c r="Z610" t="s">
        <v>74</v>
      </c>
      <c r="AA610" t="s">
        <v>8302</v>
      </c>
      <c r="AB610" t="s">
        <v>8303</v>
      </c>
      <c r="AC610" t="s">
        <v>74</v>
      </c>
      <c r="AD610" t="s">
        <v>74</v>
      </c>
      <c r="AE610" t="s">
        <v>74</v>
      </c>
      <c r="AF610" t="s">
        <v>74</v>
      </c>
      <c r="AG610">
        <v>21</v>
      </c>
      <c r="AH610">
        <v>27</v>
      </c>
      <c r="AI610">
        <v>30</v>
      </c>
      <c r="AJ610">
        <v>0</v>
      </c>
      <c r="AK610">
        <v>7</v>
      </c>
      <c r="AL610" t="s">
        <v>1120</v>
      </c>
      <c r="AM610" t="s">
        <v>1121</v>
      </c>
      <c r="AN610" t="s">
        <v>2394</v>
      </c>
      <c r="AO610" t="s">
        <v>4680</v>
      </c>
      <c r="AP610" t="s">
        <v>74</v>
      </c>
      <c r="AQ610" t="s">
        <v>74</v>
      </c>
      <c r="AR610" t="s">
        <v>4682</v>
      </c>
      <c r="AS610" t="s">
        <v>4683</v>
      </c>
      <c r="AT610" t="s">
        <v>8290</v>
      </c>
      <c r="AU610">
        <v>2000</v>
      </c>
      <c r="AV610">
        <v>181</v>
      </c>
      <c r="AW610">
        <v>3</v>
      </c>
      <c r="AX610" t="s">
        <v>74</v>
      </c>
      <c r="AY610" t="s">
        <v>74</v>
      </c>
      <c r="AZ610" t="s">
        <v>74</v>
      </c>
      <c r="BA610" t="s">
        <v>74</v>
      </c>
      <c r="BB610">
        <v>429</v>
      </c>
      <c r="BC610">
        <v>441</v>
      </c>
      <c r="BD610" t="s">
        <v>74</v>
      </c>
      <c r="BE610" t="s">
        <v>8304</v>
      </c>
      <c r="BF610" t="str">
        <f>HYPERLINK("http://dx.doi.org/10.1016/S0012-821X(00)00211-9","http://dx.doi.org/10.1016/S0012-821X(00)00211-9")</f>
        <v>http://dx.doi.org/10.1016/S0012-821X(00)00211-9</v>
      </c>
      <c r="BG610" t="s">
        <v>74</v>
      </c>
      <c r="BH610" t="s">
        <v>74</v>
      </c>
      <c r="BI610">
        <v>13</v>
      </c>
      <c r="BJ610" t="s">
        <v>953</v>
      </c>
      <c r="BK610" t="s">
        <v>94</v>
      </c>
      <c r="BL610" t="s">
        <v>953</v>
      </c>
      <c r="BM610" t="s">
        <v>8292</v>
      </c>
      <c r="BN610" t="s">
        <v>74</v>
      </c>
      <c r="BO610" t="s">
        <v>74</v>
      </c>
      <c r="BP610" t="s">
        <v>74</v>
      </c>
      <c r="BQ610" t="s">
        <v>74</v>
      </c>
      <c r="BR610" t="s">
        <v>97</v>
      </c>
      <c r="BS610" t="s">
        <v>8305</v>
      </c>
      <c r="BT610" t="str">
        <f>HYPERLINK("https%3A%2F%2Fwww.webofscience.com%2Fwos%2Fwoscc%2Ffull-record%2FWOS:000089394200012","View Full Record in Web of Science")</f>
        <v>View Full Record in Web of Science</v>
      </c>
    </row>
    <row r="611" spans="1:72" x14ac:dyDescent="0.15">
      <c r="A611" t="s">
        <v>72</v>
      </c>
      <c r="B611" t="s">
        <v>8306</v>
      </c>
      <c r="C611" t="s">
        <v>74</v>
      </c>
      <c r="D611" t="s">
        <v>74</v>
      </c>
      <c r="E611" t="s">
        <v>74</v>
      </c>
      <c r="F611" t="s">
        <v>8306</v>
      </c>
      <c r="G611" t="s">
        <v>74</v>
      </c>
      <c r="H611" t="s">
        <v>74</v>
      </c>
      <c r="I611" t="s">
        <v>8307</v>
      </c>
      <c r="J611" t="s">
        <v>8308</v>
      </c>
      <c r="K611" t="s">
        <v>74</v>
      </c>
      <c r="L611" t="s">
        <v>74</v>
      </c>
      <c r="M611" t="s">
        <v>77</v>
      </c>
      <c r="N611" t="s">
        <v>5419</v>
      </c>
      <c r="O611" t="s">
        <v>74</v>
      </c>
      <c r="P611" t="s">
        <v>74</v>
      </c>
      <c r="Q611" t="s">
        <v>74</v>
      </c>
      <c r="R611" t="s">
        <v>74</v>
      </c>
      <c r="S611" t="s">
        <v>74</v>
      </c>
      <c r="T611" t="s">
        <v>74</v>
      </c>
      <c r="U611" t="s">
        <v>74</v>
      </c>
      <c r="V611" t="s">
        <v>74</v>
      </c>
      <c r="W611" t="s">
        <v>8309</v>
      </c>
      <c r="X611" t="s">
        <v>8310</v>
      </c>
      <c r="Y611" t="s">
        <v>8311</v>
      </c>
      <c r="Z611" t="s">
        <v>74</v>
      </c>
      <c r="AA611" t="s">
        <v>74</v>
      </c>
      <c r="AB611" t="s">
        <v>74</v>
      </c>
      <c r="AC611" t="s">
        <v>74</v>
      </c>
      <c r="AD611" t="s">
        <v>74</v>
      </c>
      <c r="AE611" t="s">
        <v>74</v>
      </c>
      <c r="AF611" t="s">
        <v>74</v>
      </c>
      <c r="AG611">
        <v>1</v>
      </c>
      <c r="AH611">
        <v>0</v>
      </c>
      <c r="AI611">
        <v>0</v>
      </c>
      <c r="AJ611">
        <v>0</v>
      </c>
      <c r="AK611">
        <v>0</v>
      </c>
      <c r="AL611" t="s">
        <v>8312</v>
      </c>
      <c r="AM611" t="s">
        <v>160</v>
      </c>
      <c r="AN611" t="s">
        <v>8313</v>
      </c>
      <c r="AO611" t="s">
        <v>8314</v>
      </c>
      <c r="AP611" t="s">
        <v>74</v>
      </c>
      <c r="AQ611" t="s">
        <v>74</v>
      </c>
      <c r="AR611" t="s">
        <v>8315</v>
      </c>
      <c r="AS611" t="s">
        <v>8316</v>
      </c>
      <c r="AT611" t="s">
        <v>8290</v>
      </c>
      <c r="AU611">
        <v>2000</v>
      </c>
      <c r="AV611">
        <v>125</v>
      </c>
      <c r="AW611">
        <v>15</v>
      </c>
      <c r="AX611" t="s">
        <v>74</v>
      </c>
      <c r="AY611" t="s">
        <v>74</v>
      </c>
      <c r="AZ611" t="s">
        <v>74</v>
      </c>
      <c r="BA611" t="s">
        <v>74</v>
      </c>
      <c r="BB611">
        <v>93</v>
      </c>
      <c r="BC611">
        <v>93</v>
      </c>
      <c r="BD611" t="s">
        <v>74</v>
      </c>
      <c r="BE611" t="s">
        <v>74</v>
      </c>
      <c r="BF611" t="s">
        <v>74</v>
      </c>
      <c r="BG611" t="s">
        <v>74</v>
      </c>
      <c r="BH611" t="s">
        <v>74</v>
      </c>
      <c r="BI611">
        <v>1</v>
      </c>
      <c r="BJ611" t="s">
        <v>8317</v>
      </c>
      <c r="BK611" t="s">
        <v>657</v>
      </c>
      <c r="BL611" t="s">
        <v>8317</v>
      </c>
      <c r="BM611" t="s">
        <v>8318</v>
      </c>
      <c r="BN611" t="s">
        <v>74</v>
      </c>
      <c r="BO611" t="s">
        <v>74</v>
      </c>
      <c r="BP611" t="s">
        <v>74</v>
      </c>
      <c r="BQ611" t="s">
        <v>74</v>
      </c>
      <c r="BR611" t="s">
        <v>97</v>
      </c>
      <c r="BS611" t="s">
        <v>8319</v>
      </c>
      <c r="BT611" t="str">
        <f>HYPERLINK("https%3A%2F%2Fwww.webofscience.com%2Fwos%2Fwoscc%2Ffull-record%2FWOS:000089287400148","View Full Record in Web of Science")</f>
        <v>View Full Record in Web of Science</v>
      </c>
    </row>
    <row r="612" spans="1:72" x14ac:dyDescent="0.15">
      <c r="A612" t="s">
        <v>72</v>
      </c>
      <c r="B612" t="s">
        <v>8320</v>
      </c>
      <c r="C612" t="s">
        <v>74</v>
      </c>
      <c r="D612" t="s">
        <v>74</v>
      </c>
      <c r="E612" t="s">
        <v>74</v>
      </c>
      <c r="F612" t="s">
        <v>8320</v>
      </c>
      <c r="G612" t="s">
        <v>74</v>
      </c>
      <c r="H612" t="s">
        <v>74</v>
      </c>
      <c r="I612" t="s">
        <v>8321</v>
      </c>
      <c r="J612" t="s">
        <v>4938</v>
      </c>
      <c r="K612" t="s">
        <v>74</v>
      </c>
      <c r="L612" t="s">
        <v>74</v>
      </c>
      <c r="M612" t="s">
        <v>77</v>
      </c>
      <c r="N612" t="s">
        <v>78</v>
      </c>
      <c r="O612" t="s">
        <v>74</v>
      </c>
      <c r="P612" t="s">
        <v>74</v>
      </c>
      <c r="Q612" t="s">
        <v>74</v>
      </c>
      <c r="R612" t="s">
        <v>74</v>
      </c>
      <c r="S612" t="s">
        <v>74</v>
      </c>
      <c r="T612" t="s">
        <v>8322</v>
      </c>
      <c r="U612" t="s">
        <v>8323</v>
      </c>
      <c r="V612" t="s">
        <v>8324</v>
      </c>
      <c r="W612" t="s">
        <v>8325</v>
      </c>
      <c r="X612" t="s">
        <v>8326</v>
      </c>
      <c r="Y612" t="s">
        <v>8327</v>
      </c>
      <c r="Z612" t="s">
        <v>74</v>
      </c>
      <c r="AA612" t="s">
        <v>74</v>
      </c>
      <c r="AB612" t="s">
        <v>74</v>
      </c>
      <c r="AC612" t="s">
        <v>74</v>
      </c>
      <c r="AD612" t="s">
        <v>74</v>
      </c>
      <c r="AE612" t="s">
        <v>74</v>
      </c>
      <c r="AF612" t="s">
        <v>74</v>
      </c>
      <c r="AG612">
        <v>37</v>
      </c>
      <c r="AH612">
        <v>41</v>
      </c>
      <c r="AI612">
        <v>46</v>
      </c>
      <c r="AJ612">
        <v>0</v>
      </c>
      <c r="AK612">
        <v>9</v>
      </c>
      <c r="AL612" t="s">
        <v>1120</v>
      </c>
      <c r="AM612" t="s">
        <v>1121</v>
      </c>
      <c r="AN612" t="s">
        <v>2394</v>
      </c>
      <c r="AO612" t="s">
        <v>4944</v>
      </c>
      <c r="AP612" t="s">
        <v>74</v>
      </c>
      <c r="AQ612" t="s">
        <v>74</v>
      </c>
      <c r="AR612" t="s">
        <v>4945</v>
      </c>
      <c r="AS612" t="s">
        <v>4946</v>
      </c>
      <c r="AT612" t="s">
        <v>8290</v>
      </c>
      <c r="AU612">
        <v>2000</v>
      </c>
      <c r="AV612">
        <v>169</v>
      </c>
      <c r="AW612" t="s">
        <v>870</v>
      </c>
      <c r="AX612" t="s">
        <v>74</v>
      </c>
      <c r="AY612" t="s">
        <v>74</v>
      </c>
      <c r="AZ612" t="s">
        <v>74</v>
      </c>
      <c r="BA612" t="s">
        <v>74</v>
      </c>
      <c r="BB612">
        <v>239</v>
      </c>
      <c r="BC612">
        <v>257</v>
      </c>
      <c r="BD612" t="s">
        <v>74</v>
      </c>
      <c r="BE612" t="s">
        <v>8328</v>
      </c>
      <c r="BF612" t="str">
        <f>HYPERLINK("http://dx.doi.org/10.1016/S0025-3227(00)00059-1","http://dx.doi.org/10.1016/S0025-3227(00)00059-1")</f>
        <v>http://dx.doi.org/10.1016/S0025-3227(00)00059-1</v>
      </c>
      <c r="BG612" t="s">
        <v>74</v>
      </c>
      <c r="BH612" t="s">
        <v>74</v>
      </c>
      <c r="BI612">
        <v>19</v>
      </c>
      <c r="BJ612" t="s">
        <v>4948</v>
      </c>
      <c r="BK612" t="s">
        <v>94</v>
      </c>
      <c r="BL612" t="s">
        <v>4949</v>
      </c>
      <c r="BM612" t="s">
        <v>8329</v>
      </c>
      <c r="BN612" t="s">
        <v>74</v>
      </c>
      <c r="BO612" t="s">
        <v>1755</v>
      </c>
      <c r="BP612" t="s">
        <v>74</v>
      </c>
      <c r="BQ612" t="s">
        <v>74</v>
      </c>
      <c r="BR612" t="s">
        <v>97</v>
      </c>
      <c r="BS612" t="s">
        <v>8330</v>
      </c>
      <c r="BT612" t="str">
        <f>HYPERLINK("https%3A%2F%2Fwww.webofscience.com%2Fwos%2Fwoscc%2Ffull-record%2FWOS:000089544200011","View Full Record in Web of Science")</f>
        <v>View Full Record in Web of Science</v>
      </c>
    </row>
    <row r="613" spans="1:72" x14ac:dyDescent="0.15">
      <c r="A613" t="s">
        <v>72</v>
      </c>
      <c r="B613" t="s">
        <v>8331</v>
      </c>
      <c r="C613" t="s">
        <v>74</v>
      </c>
      <c r="D613" t="s">
        <v>74</v>
      </c>
      <c r="E613" t="s">
        <v>74</v>
      </c>
      <c r="F613" t="s">
        <v>8331</v>
      </c>
      <c r="G613" t="s">
        <v>74</v>
      </c>
      <c r="H613" t="s">
        <v>74</v>
      </c>
      <c r="I613" t="s">
        <v>8332</v>
      </c>
      <c r="J613" t="s">
        <v>8333</v>
      </c>
      <c r="K613" t="s">
        <v>74</v>
      </c>
      <c r="L613" t="s">
        <v>74</v>
      </c>
      <c r="M613" t="s">
        <v>77</v>
      </c>
      <c r="N613" t="s">
        <v>78</v>
      </c>
      <c r="O613" t="s">
        <v>74</v>
      </c>
      <c r="P613" t="s">
        <v>74</v>
      </c>
      <c r="Q613" t="s">
        <v>74</v>
      </c>
      <c r="R613" t="s">
        <v>74</v>
      </c>
      <c r="S613" t="s">
        <v>74</v>
      </c>
      <c r="T613" t="s">
        <v>74</v>
      </c>
      <c r="U613" t="s">
        <v>8334</v>
      </c>
      <c r="V613" t="s">
        <v>8335</v>
      </c>
      <c r="W613" t="s">
        <v>8336</v>
      </c>
      <c r="X613" t="s">
        <v>8337</v>
      </c>
      <c r="Y613" t="s">
        <v>8338</v>
      </c>
      <c r="Z613" t="s">
        <v>74</v>
      </c>
      <c r="AA613" t="s">
        <v>8339</v>
      </c>
      <c r="AB613" t="s">
        <v>8340</v>
      </c>
      <c r="AC613" t="s">
        <v>74</v>
      </c>
      <c r="AD613" t="s">
        <v>74</v>
      </c>
      <c r="AE613" t="s">
        <v>74</v>
      </c>
      <c r="AF613" t="s">
        <v>74</v>
      </c>
      <c r="AG613">
        <v>40</v>
      </c>
      <c r="AH613">
        <v>74</v>
      </c>
      <c r="AI613">
        <v>88</v>
      </c>
      <c r="AJ613">
        <v>0</v>
      </c>
      <c r="AK613">
        <v>1</v>
      </c>
      <c r="AL613" t="s">
        <v>5985</v>
      </c>
      <c r="AM613" t="s">
        <v>5986</v>
      </c>
      <c r="AN613" t="s">
        <v>5987</v>
      </c>
      <c r="AO613" t="s">
        <v>8341</v>
      </c>
      <c r="AP613" t="s">
        <v>74</v>
      </c>
      <c r="AQ613" t="s">
        <v>74</v>
      </c>
      <c r="AR613" t="s">
        <v>8342</v>
      </c>
      <c r="AS613" t="s">
        <v>8343</v>
      </c>
      <c r="AT613" t="s">
        <v>8290</v>
      </c>
      <c r="AU613">
        <v>2000</v>
      </c>
      <c r="AV613">
        <v>62</v>
      </c>
      <c r="AW613">
        <v>6</v>
      </c>
      <c r="AX613" t="s">
        <v>74</v>
      </c>
      <c r="AY613" t="s">
        <v>74</v>
      </c>
      <c r="AZ613" t="s">
        <v>74</v>
      </c>
      <c r="BA613" t="s">
        <v>74</v>
      </c>
      <c r="BB613" t="s">
        <v>74</v>
      </c>
      <c r="BC613" t="s">
        <v>74</v>
      </c>
      <c r="BD613">
        <v>63001</v>
      </c>
      <c r="BE613" t="s">
        <v>8344</v>
      </c>
      <c r="BF613" t="str">
        <f>HYPERLINK("http://dx.doi.org/10.1103/PhysRevD.62.063001","http://dx.doi.org/10.1103/PhysRevD.62.063001")</f>
        <v>http://dx.doi.org/10.1103/PhysRevD.62.063001</v>
      </c>
      <c r="BG613" t="s">
        <v>74</v>
      </c>
      <c r="BH613" t="s">
        <v>74</v>
      </c>
      <c r="BI613">
        <v>9</v>
      </c>
      <c r="BJ613" t="s">
        <v>8345</v>
      </c>
      <c r="BK613" t="s">
        <v>94</v>
      </c>
      <c r="BL613" t="s">
        <v>3957</v>
      </c>
      <c r="BM613" t="s">
        <v>8346</v>
      </c>
      <c r="BN613" t="s">
        <v>74</v>
      </c>
      <c r="BO613" t="s">
        <v>296</v>
      </c>
      <c r="BP613" t="s">
        <v>74</v>
      </c>
      <c r="BQ613" t="s">
        <v>74</v>
      </c>
      <c r="BR613" t="s">
        <v>97</v>
      </c>
      <c r="BS613" t="s">
        <v>8347</v>
      </c>
      <c r="BT613" t="str">
        <f>HYPERLINK("https%3A%2F%2Fwww.webofscience.com%2Fwos%2Fwoscc%2Ffull-record%2FWOS:000089311300004","View Full Record in Web of Science")</f>
        <v>View Full Record in Web of Science</v>
      </c>
    </row>
    <row r="614" spans="1:72" x14ac:dyDescent="0.15">
      <c r="A614" t="s">
        <v>72</v>
      </c>
      <c r="B614" t="s">
        <v>8348</v>
      </c>
      <c r="C614" t="s">
        <v>74</v>
      </c>
      <c r="D614" t="s">
        <v>74</v>
      </c>
      <c r="E614" t="s">
        <v>74</v>
      </c>
      <c r="F614" t="s">
        <v>8348</v>
      </c>
      <c r="G614" t="s">
        <v>74</v>
      </c>
      <c r="H614" t="s">
        <v>74</v>
      </c>
      <c r="I614" t="s">
        <v>8349</v>
      </c>
      <c r="J614" t="s">
        <v>8350</v>
      </c>
      <c r="K614" t="s">
        <v>74</v>
      </c>
      <c r="L614" t="s">
        <v>74</v>
      </c>
      <c r="M614" t="s">
        <v>77</v>
      </c>
      <c r="N614" t="s">
        <v>78</v>
      </c>
      <c r="O614" t="s">
        <v>74</v>
      </c>
      <c r="P614" t="s">
        <v>74</v>
      </c>
      <c r="Q614" t="s">
        <v>74</v>
      </c>
      <c r="R614" t="s">
        <v>74</v>
      </c>
      <c r="S614" t="s">
        <v>74</v>
      </c>
      <c r="T614" t="s">
        <v>74</v>
      </c>
      <c r="U614" t="s">
        <v>8351</v>
      </c>
      <c r="V614" t="s">
        <v>8352</v>
      </c>
      <c r="W614" t="s">
        <v>8353</v>
      </c>
      <c r="X614" t="s">
        <v>8242</v>
      </c>
      <c r="Y614" t="s">
        <v>5939</v>
      </c>
      <c r="Z614" t="s">
        <v>74</v>
      </c>
      <c r="AA614" t="s">
        <v>74</v>
      </c>
      <c r="AB614" t="s">
        <v>74</v>
      </c>
      <c r="AC614" t="s">
        <v>74</v>
      </c>
      <c r="AD614" t="s">
        <v>74</v>
      </c>
      <c r="AE614" t="s">
        <v>74</v>
      </c>
      <c r="AF614" t="s">
        <v>74</v>
      </c>
      <c r="AG614">
        <v>27</v>
      </c>
      <c r="AH614">
        <v>719</v>
      </c>
      <c r="AI614">
        <v>854</v>
      </c>
      <c r="AJ614">
        <v>4</v>
      </c>
      <c r="AK614">
        <v>240</v>
      </c>
      <c r="AL614" t="s">
        <v>8354</v>
      </c>
      <c r="AM614" t="s">
        <v>1060</v>
      </c>
      <c r="AN614" t="s">
        <v>8355</v>
      </c>
      <c r="AO614" t="s">
        <v>8356</v>
      </c>
      <c r="AP614" t="s">
        <v>74</v>
      </c>
      <c r="AQ614" t="s">
        <v>74</v>
      </c>
      <c r="AR614" t="s">
        <v>8350</v>
      </c>
      <c r="AS614" t="s">
        <v>8357</v>
      </c>
      <c r="AT614" t="s">
        <v>8290</v>
      </c>
      <c r="AU614">
        <v>2000</v>
      </c>
      <c r="AV614">
        <v>289</v>
      </c>
      <c r="AW614">
        <v>5486</v>
      </c>
      <c r="AX614" t="s">
        <v>74</v>
      </c>
      <c r="AY614" t="s">
        <v>74</v>
      </c>
      <c r="AZ614" t="s">
        <v>74</v>
      </c>
      <c r="BA614" t="s">
        <v>74</v>
      </c>
      <c r="BB614">
        <v>1897</v>
      </c>
      <c r="BC614">
        <v>1902</v>
      </c>
      <c r="BD614" t="s">
        <v>74</v>
      </c>
      <c r="BE614" t="s">
        <v>8358</v>
      </c>
      <c r="BF614" t="str">
        <f>HYPERLINK("http://dx.doi.org/10.1126/science.289.5486.1897","http://dx.doi.org/10.1126/science.289.5486.1897")</f>
        <v>http://dx.doi.org/10.1126/science.289.5486.1897</v>
      </c>
      <c r="BG614" t="s">
        <v>74</v>
      </c>
      <c r="BH614" t="s">
        <v>74</v>
      </c>
      <c r="BI614">
        <v>6</v>
      </c>
      <c r="BJ614" t="s">
        <v>93</v>
      </c>
      <c r="BK614" t="s">
        <v>94</v>
      </c>
      <c r="BL614" t="s">
        <v>95</v>
      </c>
      <c r="BM614" t="s">
        <v>8359</v>
      </c>
      <c r="BN614">
        <v>10988063</v>
      </c>
      <c r="BO614" t="s">
        <v>74</v>
      </c>
      <c r="BP614" t="s">
        <v>74</v>
      </c>
      <c r="BQ614" t="s">
        <v>74</v>
      </c>
      <c r="BR614" t="s">
        <v>97</v>
      </c>
      <c r="BS614" t="s">
        <v>8360</v>
      </c>
      <c r="BT614" t="str">
        <f>HYPERLINK("https%3A%2F%2Fwww.webofscience.com%2Fwos%2Fwoscc%2Ffull-record%2FWOS:000089355800035","View Full Record in Web of Science")</f>
        <v>View Full Record in Web of Science</v>
      </c>
    </row>
    <row r="615" spans="1:72" x14ac:dyDescent="0.15">
      <c r="A615" t="s">
        <v>72</v>
      </c>
      <c r="B615" t="s">
        <v>8361</v>
      </c>
      <c r="C615" t="s">
        <v>74</v>
      </c>
      <c r="D615" t="s">
        <v>74</v>
      </c>
      <c r="E615" t="s">
        <v>74</v>
      </c>
      <c r="F615" t="s">
        <v>8361</v>
      </c>
      <c r="G615" t="s">
        <v>74</v>
      </c>
      <c r="H615" t="s">
        <v>74</v>
      </c>
      <c r="I615" t="s">
        <v>8362</v>
      </c>
      <c r="J615" t="s">
        <v>8363</v>
      </c>
      <c r="K615" t="s">
        <v>74</v>
      </c>
      <c r="L615" t="s">
        <v>74</v>
      </c>
      <c r="M615" t="s">
        <v>77</v>
      </c>
      <c r="N615" t="s">
        <v>78</v>
      </c>
      <c r="O615" t="s">
        <v>74</v>
      </c>
      <c r="P615" t="s">
        <v>74</v>
      </c>
      <c r="Q615" t="s">
        <v>74</v>
      </c>
      <c r="R615" t="s">
        <v>74</v>
      </c>
      <c r="S615" t="s">
        <v>74</v>
      </c>
      <c r="T615" t="s">
        <v>74</v>
      </c>
      <c r="U615" t="s">
        <v>74</v>
      </c>
      <c r="V615" t="s">
        <v>8364</v>
      </c>
      <c r="W615" t="s">
        <v>8365</v>
      </c>
      <c r="X615" t="s">
        <v>8366</v>
      </c>
      <c r="Y615" t="s">
        <v>8367</v>
      </c>
      <c r="Z615" t="s">
        <v>74</v>
      </c>
      <c r="AA615" t="s">
        <v>8368</v>
      </c>
      <c r="AB615" t="s">
        <v>8369</v>
      </c>
      <c r="AC615" t="s">
        <v>74</v>
      </c>
      <c r="AD615" t="s">
        <v>74</v>
      </c>
      <c r="AE615" t="s">
        <v>74</v>
      </c>
      <c r="AF615" t="s">
        <v>74</v>
      </c>
      <c r="AG615">
        <v>8</v>
      </c>
      <c r="AH615">
        <v>5</v>
      </c>
      <c r="AI615">
        <v>5</v>
      </c>
      <c r="AJ615">
        <v>0</v>
      </c>
      <c r="AK615">
        <v>1</v>
      </c>
      <c r="AL615" t="s">
        <v>8370</v>
      </c>
      <c r="AM615" t="s">
        <v>8371</v>
      </c>
      <c r="AN615" t="s">
        <v>8372</v>
      </c>
      <c r="AO615" t="s">
        <v>8373</v>
      </c>
      <c r="AP615" t="s">
        <v>74</v>
      </c>
      <c r="AQ615" t="s">
        <v>74</v>
      </c>
      <c r="AR615" t="s">
        <v>8374</v>
      </c>
      <c r="AS615" t="s">
        <v>8375</v>
      </c>
      <c r="AT615" t="s">
        <v>8376</v>
      </c>
      <c r="AU615">
        <v>2000</v>
      </c>
      <c r="AV615">
        <v>79</v>
      </c>
      <c r="AW615">
        <v>5</v>
      </c>
      <c r="AX615" t="s">
        <v>74</v>
      </c>
      <c r="AY615" t="s">
        <v>74</v>
      </c>
      <c r="AZ615" t="s">
        <v>74</v>
      </c>
      <c r="BA615" t="s">
        <v>74</v>
      </c>
      <c r="BB615">
        <v>648</v>
      </c>
      <c r="BC615">
        <v>651</v>
      </c>
      <c r="BD615" t="s">
        <v>74</v>
      </c>
      <c r="BE615" t="s">
        <v>74</v>
      </c>
      <c r="BF615" t="s">
        <v>74</v>
      </c>
      <c r="BG615" t="s">
        <v>74</v>
      </c>
      <c r="BH615" t="s">
        <v>74</v>
      </c>
      <c r="BI615">
        <v>4</v>
      </c>
      <c r="BJ615" t="s">
        <v>93</v>
      </c>
      <c r="BK615" t="s">
        <v>94</v>
      </c>
      <c r="BL615" t="s">
        <v>95</v>
      </c>
      <c r="BM615" t="s">
        <v>8377</v>
      </c>
      <c r="BN615" t="s">
        <v>74</v>
      </c>
      <c r="BO615" t="s">
        <v>74</v>
      </c>
      <c r="BP615" t="s">
        <v>74</v>
      </c>
      <c r="BQ615" t="s">
        <v>74</v>
      </c>
      <c r="BR615" t="s">
        <v>97</v>
      </c>
      <c r="BS615" t="s">
        <v>8378</v>
      </c>
      <c r="BT615" t="str">
        <f>HYPERLINK("https%3A%2F%2Fwww.webofscience.com%2Fwos%2Fwoscc%2Ffull-record%2FWOS:000089361300023","View Full Record in Web of Science")</f>
        <v>View Full Record in Web of Science</v>
      </c>
    </row>
    <row r="616" spans="1:72" x14ac:dyDescent="0.15">
      <c r="A616" t="s">
        <v>72</v>
      </c>
      <c r="B616" t="s">
        <v>8379</v>
      </c>
      <c r="C616" t="s">
        <v>74</v>
      </c>
      <c r="D616" t="s">
        <v>74</v>
      </c>
      <c r="E616" t="s">
        <v>74</v>
      </c>
      <c r="F616" t="s">
        <v>8379</v>
      </c>
      <c r="G616" t="s">
        <v>74</v>
      </c>
      <c r="H616" t="s">
        <v>74</v>
      </c>
      <c r="I616" t="s">
        <v>8380</v>
      </c>
      <c r="J616" t="s">
        <v>8350</v>
      </c>
      <c r="K616" t="s">
        <v>74</v>
      </c>
      <c r="L616" t="s">
        <v>74</v>
      </c>
      <c r="M616" t="s">
        <v>77</v>
      </c>
      <c r="N616" t="s">
        <v>78</v>
      </c>
      <c r="O616" t="s">
        <v>74</v>
      </c>
      <c r="P616" t="s">
        <v>74</v>
      </c>
      <c r="Q616" t="s">
        <v>74</v>
      </c>
      <c r="R616" t="s">
        <v>74</v>
      </c>
      <c r="S616" t="s">
        <v>74</v>
      </c>
      <c r="T616" t="s">
        <v>74</v>
      </c>
      <c r="U616" t="s">
        <v>8381</v>
      </c>
      <c r="V616" t="s">
        <v>8382</v>
      </c>
      <c r="W616" t="s">
        <v>8383</v>
      </c>
      <c r="X616" t="s">
        <v>8384</v>
      </c>
      <c r="Y616" t="s">
        <v>8385</v>
      </c>
      <c r="Z616" t="s">
        <v>74</v>
      </c>
      <c r="AA616" t="s">
        <v>74</v>
      </c>
      <c r="AB616" t="s">
        <v>74</v>
      </c>
      <c r="AC616" t="s">
        <v>74</v>
      </c>
      <c r="AD616" t="s">
        <v>74</v>
      </c>
      <c r="AE616" t="s">
        <v>74</v>
      </c>
      <c r="AF616" t="s">
        <v>74</v>
      </c>
      <c r="AG616">
        <v>43</v>
      </c>
      <c r="AH616">
        <v>797</v>
      </c>
      <c r="AI616">
        <v>981</v>
      </c>
      <c r="AJ616">
        <v>6</v>
      </c>
      <c r="AK616">
        <v>213</v>
      </c>
      <c r="AL616" t="s">
        <v>8354</v>
      </c>
      <c r="AM616" t="s">
        <v>1060</v>
      </c>
      <c r="AN616" t="s">
        <v>8355</v>
      </c>
      <c r="AO616" t="s">
        <v>8356</v>
      </c>
      <c r="AP616" t="s">
        <v>74</v>
      </c>
      <c r="AQ616" t="s">
        <v>74</v>
      </c>
      <c r="AR616" t="s">
        <v>8350</v>
      </c>
      <c r="AS616" t="s">
        <v>8357</v>
      </c>
      <c r="AT616" t="s">
        <v>8386</v>
      </c>
      <c r="AU616">
        <v>2000</v>
      </c>
      <c r="AV616">
        <v>289</v>
      </c>
      <c r="AW616">
        <v>5485</v>
      </c>
      <c r="AX616" t="s">
        <v>74</v>
      </c>
      <c r="AY616" t="s">
        <v>74</v>
      </c>
      <c r="AZ616" t="s">
        <v>74</v>
      </c>
      <c r="BA616" t="s">
        <v>74</v>
      </c>
      <c r="BB616">
        <v>1719</v>
      </c>
      <c r="BC616">
        <v>1724</v>
      </c>
      <c r="BD616" t="s">
        <v>74</v>
      </c>
      <c r="BE616" t="s">
        <v>8387</v>
      </c>
      <c r="BF616" t="str">
        <f>HYPERLINK("http://dx.doi.org/10.1126/science.289.5485.1719","http://dx.doi.org/10.1126/science.289.5485.1719")</f>
        <v>http://dx.doi.org/10.1126/science.289.5485.1719</v>
      </c>
      <c r="BG616" t="s">
        <v>74</v>
      </c>
      <c r="BH616" t="s">
        <v>74</v>
      </c>
      <c r="BI616">
        <v>8</v>
      </c>
      <c r="BJ616" t="s">
        <v>93</v>
      </c>
      <c r="BK616" t="s">
        <v>94</v>
      </c>
      <c r="BL616" t="s">
        <v>95</v>
      </c>
      <c r="BM616" t="s">
        <v>8388</v>
      </c>
      <c r="BN616">
        <v>10976060</v>
      </c>
      <c r="BO616" t="s">
        <v>74</v>
      </c>
      <c r="BP616" t="s">
        <v>74</v>
      </c>
      <c r="BQ616" t="s">
        <v>74</v>
      </c>
      <c r="BR616" t="s">
        <v>97</v>
      </c>
      <c r="BS616" t="s">
        <v>8389</v>
      </c>
      <c r="BT616" t="str">
        <f>HYPERLINK("https%3A%2F%2Fwww.webofscience.com%2Fwos%2Fwoscc%2Ffull-record%2FWOS:000089195200038","View Full Record in Web of Science")</f>
        <v>View Full Record in Web of Science</v>
      </c>
    </row>
    <row r="617" spans="1:72" x14ac:dyDescent="0.15">
      <c r="A617" t="s">
        <v>72</v>
      </c>
      <c r="B617" t="s">
        <v>8390</v>
      </c>
      <c r="C617" t="s">
        <v>74</v>
      </c>
      <c r="D617" t="s">
        <v>74</v>
      </c>
      <c r="E617" t="s">
        <v>74</v>
      </c>
      <c r="F617" t="s">
        <v>8390</v>
      </c>
      <c r="G617" t="s">
        <v>74</v>
      </c>
      <c r="H617" t="s">
        <v>74</v>
      </c>
      <c r="I617" t="s">
        <v>8391</v>
      </c>
      <c r="J617" t="s">
        <v>8392</v>
      </c>
      <c r="K617" t="s">
        <v>74</v>
      </c>
      <c r="L617" t="s">
        <v>74</v>
      </c>
      <c r="M617" t="s">
        <v>77</v>
      </c>
      <c r="N617" t="s">
        <v>78</v>
      </c>
      <c r="O617" t="s">
        <v>74</v>
      </c>
      <c r="P617" t="s">
        <v>74</v>
      </c>
      <c r="Q617" t="s">
        <v>74</v>
      </c>
      <c r="R617" t="s">
        <v>74</v>
      </c>
      <c r="S617" t="s">
        <v>74</v>
      </c>
      <c r="T617" t="s">
        <v>74</v>
      </c>
      <c r="U617" t="s">
        <v>74</v>
      </c>
      <c r="V617" t="s">
        <v>74</v>
      </c>
      <c r="W617" t="s">
        <v>74</v>
      </c>
      <c r="X617" t="s">
        <v>74</v>
      </c>
      <c r="Y617" t="s">
        <v>74</v>
      </c>
      <c r="Z617" t="s">
        <v>74</v>
      </c>
      <c r="AA617" t="s">
        <v>74</v>
      </c>
      <c r="AB617" t="s">
        <v>74</v>
      </c>
      <c r="AC617" t="s">
        <v>74</v>
      </c>
      <c r="AD617" t="s">
        <v>74</v>
      </c>
      <c r="AE617" t="s">
        <v>74</v>
      </c>
      <c r="AF617" t="s">
        <v>74</v>
      </c>
      <c r="AG617">
        <v>0</v>
      </c>
      <c r="AH617">
        <v>0</v>
      </c>
      <c r="AI617">
        <v>0</v>
      </c>
      <c r="AJ617">
        <v>0</v>
      </c>
      <c r="AK617">
        <v>0</v>
      </c>
      <c r="AL617" t="s">
        <v>8393</v>
      </c>
      <c r="AM617" t="s">
        <v>1208</v>
      </c>
      <c r="AN617" t="s">
        <v>8394</v>
      </c>
      <c r="AO617" t="s">
        <v>8395</v>
      </c>
      <c r="AP617" t="s">
        <v>74</v>
      </c>
      <c r="AQ617" t="s">
        <v>74</v>
      </c>
      <c r="AR617" t="s">
        <v>8396</v>
      </c>
      <c r="AS617" t="s">
        <v>8397</v>
      </c>
      <c r="AT617" t="s">
        <v>8398</v>
      </c>
      <c r="AU617">
        <v>2000</v>
      </c>
      <c r="AV617">
        <v>13</v>
      </c>
      <c r="AW617">
        <v>16</v>
      </c>
      <c r="AX617" t="s">
        <v>74</v>
      </c>
      <c r="AY617" t="s">
        <v>74</v>
      </c>
      <c r="AZ617" t="s">
        <v>74</v>
      </c>
      <c r="BA617" t="s">
        <v>74</v>
      </c>
      <c r="BB617">
        <v>42</v>
      </c>
      <c r="BC617">
        <v>43</v>
      </c>
      <c r="BD617" t="s">
        <v>74</v>
      </c>
      <c r="BE617" t="s">
        <v>74</v>
      </c>
      <c r="BF617" t="s">
        <v>74</v>
      </c>
      <c r="BG617" t="s">
        <v>74</v>
      </c>
      <c r="BH617" t="s">
        <v>74</v>
      </c>
      <c r="BI617">
        <v>2</v>
      </c>
      <c r="BJ617" t="s">
        <v>8399</v>
      </c>
      <c r="BK617" t="s">
        <v>94</v>
      </c>
      <c r="BL617" t="s">
        <v>8400</v>
      </c>
      <c r="BM617" t="s">
        <v>8401</v>
      </c>
      <c r="BN617" t="s">
        <v>74</v>
      </c>
      <c r="BO617" t="s">
        <v>74</v>
      </c>
      <c r="BP617" t="s">
        <v>74</v>
      </c>
      <c r="BQ617" t="s">
        <v>74</v>
      </c>
      <c r="BR617" t="s">
        <v>97</v>
      </c>
      <c r="BS617" t="s">
        <v>8402</v>
      </c>
      <c r="BT617" t="str">
        <f>HYPERLINK("https%3A%2F%2Fwww.webofscience.com%2Fwos%2Fwoscc%2Ffull-record%2FWOS:000089462200049","View Full Record in Web of Science")</f>
        <v>View Full Record in Web of Science</v>
      </c>
    </row>
    <row r="618" spans="1:72" x14ac:dyDescent="0.15">
      <c r="A618" t="s">
        <v>72</v>
      </c>
      <c r="B618" t="s">
        <v>8403</v>
      </c>
      <c r="C618" t="s">
        <v>74</v>
      </c>
      <c r="D618" t="s">
        <v>74</v>
      </c>
      <c r="E618" t="s">
        <v>74</v>
      </c>
      <c r="F618" t="s">
        <v>8403</v>
      </c>
      <c r="G618" t="s">
        <v>74</v>
      </c>
      <c r="H618" t="s">
        <v>74</v>
      </c>
      <c r="I618" t="s">
        <v>8404</v>
      </c>
      <c r="J618" t="s">
        <v>5539</v>
      </c>
      <c r="K618" t="s">
        <v>74</v>
      </c>
      <c r="L618" t="s">
        <v>74</v>
      </c>
      <c r="M618" t="s">
        <v>77</v>
      </c>
      <c r="N618" t="s">
        <v>78</v>
      </c>
      <c r="O618" t="s">
        <v>74</v>
      </c>
      <c r="P618" t="s">
        <v>74</v>
      </c>
      <c r="Q618" t="s">
        <v>74</v>
      </c>
      <c r="R618" t="s">
        <v>74</v>
      </c>
      <c r="S618" t="s">
        <v>74</v>
      </c>
      <c r="T618" t="s">
        <v>8405</v>
      </c>
      <c r="U618" t="s">
        <v>8406</v>
      </c>
      <c r="V618" t="s">
        <v>8407</v>
      </c>
      <c r="W618" t="s">
        <v>8408</v>
      </c>
      <c r="X618" t="s">
        <v>8409</v>
      </c>
      <c r="Y618" t="s">
        <v>8410</v>
      </c>
      <c r="Z618" t="s">
        <v>8411</v>
      </c>
      <c r="AA618" t="s">
        <v>8412</v>
      </c>
      <c r="AB618" t="s">
        <v>8413</v>
      </c>
      <c r="AC618" t="s">
        <v>74</v>
      </c>
      <c r="AD618" t="s">
        <v>74</v>
      </c>
      <c r="AE618" t="s">
        <v>74</v>
      </c>
      <c r="AF618" t="s">
        <v>74</v>
      </c>
      <c r="AG618">
        <v>78</v>
      </c>
      <c r="AH618">
        <v>46</v>
      </c>
      <c r="AI618">
        <v>48</v>
      </c>
      <c r="AJ618">
        <v>3</v>
      </c>
      <c r="AK618">
        <v>21</v>
      </c>
      <c r="AL618" t="s">
        <v>1120</v>
      </c>
      <c r="AM618" t="s">
        <v>1121</v>
      </c>
      <c r="AN618" t="s">
        <v>2394</v>
      </c>
      <c r="AO618" t="s">
        <v>5548</v>
      </c>
      <c r="AP618" t="s">
        <v>8414</v>
      </c>
      <c r="AQ618" t="s">
        <v>74</v>
      </c>
      <c r="AR618" t="s">
        <v>5549</v>
      </c>
      <c r="AS618" t="s">
        <v>5550</v>
      </c>
      <c r="AT618" t="s">
        <v>8415</v>
      </c>
      <c r="AU618">
        <v>2000</v>
      </c>
      <c r="AV618">
        <v>252</v>
      </c>
      <c r="AW618">
        <v>1</v>
      </c>
      <c r="AX618" t="s">
        <v>74</v>
      </c>
      <c r="AY618" t="s">
        <v>74</v>
      </c>
      <c r="AZ618" t="s">
        <v>74</v>
      </c>
      <c r="BA618" t="s">
        <v>74</v>
      </c>
      <c r="BB618">
        <v>27</v>
      </c>
      <c r="BC618">
        <v>44</v>
      </c>
      <c r="BD618" t="s">
        <v>74</v>
      </c>
      <c r="BE618" t="s">
        <v>8416</v>
      </c>
      <c r="BF618" t="str">
        <f>HYPERLINK("http://dx.doi.org/10.1016/S0022-0981(00)00227-6","http://dx.doi.org/10.1016/S0022-0981(00)00227-6")</f>
        <v>http://dx.doi.org/10.1016/S0022-0981(00)00227-6</v>
      </c>
      <c r="BG618" t="s">
        <v>74</v>
      </c>
      <c r="BH618" t="s">
        <v>74</v>
      </c>
      <c r="BI618">
        <v>18</v>
      </c>
      <c r="BJ618" t="s">
        <v>618</v>
      </c>
      <c r="BK618" t="s">
        <v>94</v>
      </c>
      <c r="BL618" t="s">
        <v>619</v>
      </c>
      <c r="BM618" t="s">
        <v>8417</v>
      </c>
      <c r="BN618">
        <v>10962063</v>
      </c>
      <c r="BO618" t="s">
        <v>74</v>
      </c>
      <c r="BP618" t="s">
        <v>74</v>
      </c>
      <c r="BQ618" t="s">
        <v>74</v>
      </c>
      <c r="BR618" t="s">
        <v>97</v>
      </c>
      <c r="BS618" t="s">
        <v>8418</v>
      </c>
      <c r="BT618" t="str">
        <f>HYPERLINK("https%3A%2F%2Fwww.webofscience.com%2Fwos%2Fwoscc%2Ffull-record%2FWOS:000089288100003","View Full Record in Web of Science")</f>
        <v>View Full Record in Web of Science</v>
      </c>
    </row>
    <row r="619" spans="1:72" x14ac:dyDescent="0.15">
      <c r="A619" t="s">
        <v>72</v>
      </c>
      <c r="B619" t="s">
        <v>8419</v>
      </c>
      <c r="C619" t="s">
        <v>74</v>
      </c>
      <c r="D619" t="s">
        <v>74</v>
      </c>
      <c r="E619" t="s">
        <v>74</v>
      </c>
      <c r="F619" t="s">
        <v>8419</v>
      </c>
      <c r="G619" t="s">
        <v>74</v>
      </c>
      <c r="H619" t="s">
        <v>74</v>
      </c>
      <c r="I619" t="s">
        <v>8420</v>
      </c>
      <c r="J619" t="s">
        <v>5539</v>
      </c>
      <c r="K619" t="s">
        <v>74</v>
      </c>
      <c r="L619" t="s">
        <v>74</v>
      </c>
      <c r="M619" t="s">
        <v>77</v>
      </c>
      <c r="N619" t="s">
        <v>78</v>
      </c>
      <c r="O619" t="s">
        <v>74</v>
      </c>
      <c r="P619" t="s">
        <v>74</v>
      </c>
      <c r="Q619" t="s">
        <v>74</v>
      </c>
      <c r="R619" t="s">
        <v>74</v>
      </c>
      <c r="S619" t="s">
        <v>74</v>
      </c>
      <c r="T619" t="s">
        <v>8421</v>
      </c>
      <c r="U619" t="s">
        <v>8422</v>
      </c>
      <c r="V619" t="s">
        <v>8423</v>
      </c>
      <c r="W619" t="s">
        <v>8424</v>
      </c>
      <c r="X619" t="s">
        <v>8425</v>
      </c>
      <c r="Y619" t="s">
        <v>8426</v>
      </c>
      <c r="Z619" t="s">
        <v>74</v>
      </c>
      <c r="AA619" t="s">
        <v>74</v>
      </c>
      <c r="AB619" t="s">
        <v>74</v>
      </c>
      <c r="AC619" t="s">
        <v>74</v>
      </c>
      <c r="AD619" t="s">
        <v>74</v>
      </c>
      <c r="AE619" t="s">
        <v>74</v>
      </c>
      <c r="AF619" t="s">
        <v>74</v>
      </c>
      <c r="AG619">
        <v>32</v>
      </c>
      <c r="AH619">
        <v>9</v>
      </c>
      <c r="AI619">
        <v>10</v>
      </c>
      <c r="AJ619">
        <v>1</v>
      </c>
      <c r="AK619">
        <v>6</v>
      </c>
      <c r="AL619" t="s">
        <v>1120</v>
      </c>
      <c r="AM619" t="s">
        <v>1121</v>
      </c>
      <c r="AN619" t="s">
        <v>2394</v>
      </c>
      <c r="AO619" t="s">
        <v>5548</v>
      </c>
      <c r="AP619" t="s">
        <v>74</v>
      </c>
      <c r="AQ619" t="s">
        <v>74</v>
      </c>
      <c r="AR619" t="s">
        <v>5549</v>
      </c>
      <c r="AS619" t="s">
        <v>5550</v>
      </c>
      <c r="AT619" t="s">
        <v>8415</v>
      </c>
      <c r="AU619">
        <v>2000</v>
      </c>
      <c r="AV619">
        <v>252</v>
      </c>
      <c r="AW619">
        <v>1</v>
      </c>
      <c r="AX619" t="s">
        <v>74</v>
      </c>
      <c r="AY619" t="s">
        <v>74</v>
      </c>
      <c r="AZ619" t="s">
        <v>74</v>
      </c>
      <c r="BA619" t="s">
        <v>74</v>
      </c>
      <c r="BB619">
        <v>45</v>
      </c>
      <c r="BC619">
        <v>55</v>
      </c>
      <c r="BD619" t="s">
        <v>74</v>
      </c>
      <c r="BE619" t="s">
        <v>8427</v>
      </c>
      <c r="BF619" t="str">
        <f>HYPERLINK("http://dx.doi.org/10.1016/S0022-0981(00)00232-X","http://dx.doi.org/10.1016/S0022-0981(00)00232-X")</f>
        <v>http://dx.doi.org/10.1016/S0022-0981(00)00232-X</v>
      </c>
      <c r="BG619" t="s">
        <v>74</v>
      </c>
      <c r="BH619" t="s">
        <v>74</v>
      </c>
      <c r="BI619">
        <v>11</v>
      </c>
      <c r="BJ619" t="s">
        <v>618</v>
      </c>
      <c r="BK619" t="s">
        <v>94</v>
      </c>
      <c r="BL619" t="s">
        <v>619</v>
      </c>
      <c r="BM619" t="s">
        <v>8417</v>
      </c>
      <c r="BN619">
        <v>10962064</v>
      </c>
      <c r="BO619" t="s">
        <v>74</v>
      </c>
      <c r="BP619" t="s">
        <v>74</v>
      </c>
      <c r="BQ619" t="s">
        <v>74</v>
      </c>
      <c r="BR619" t="s">
        <v>97</v>
      </c>
      <c r="BS619" t="s">
        <v>8428</v>
      </c>
      <c r="BT619" t="str">
        <f>HYPERLINK("https%3A%2F%2Fwww.webofscience.com%2Fwos%2Fwoscc%2Ffull-record%2FWOS:000089288100004","View Full Record in Web of Science")</f>
        <v>View Full Record in Web of Science</v>
      </c>
    </row>
    <row r="620" spans="1:72" x14ac:dyDescent="0.15">
      <c r="A620" t="s">
        <v>72</v>
      </c>
      <c r="B620" t="s">
        <v>8429</v>
      </c>
      <c r="C620" t="s">
        <v>74</v>
      </c>
      <c r="D620" t="s">
        <v>74</v>
      </c>
      <c r="E620" t="s">
        <v>74</v>
      </c>
      <c r="F620" t="s">
        <v>8429</v>
      </c>
      <c r="G620" t="s">
        <v>74</v>
      </c>
      <c r="H620" t="s">
        <v>74</v>
      </c>
      <c r="I620" t="s">
        <v>8430</v>
      </c>
      <c r="J620" t="s">
        <v>8431</v>
      </c>
      <c r="K620" t="s">
        <v>74</v>
      </c>
      <c r="L620" t="s">
        <v>74</v>
      </c>
      <c r="M620" t="s">
        <v>77</v>
      </c>
      <c r="N620" t="s">
        <v>78</v>
      </c>
      <c r="O620" t="s">
        <v>74</v>
      </c>
      <c r="P620" t="s">
        <v>74</v>
      </c>
      <c r="Q620" t="s">
        <v>74</v>
      </c>
      <c r="R620" t="s">
        <v>74</v>
      </c>
      <c r="S620" t="s">
        <v>74</v>
      </c>
      <c r="T620" t="s">
        <v>8432</v>
      </c>
      <c r="U620" t="s">
        <v>8433</v>
      </c>
      <c r="V620" t="s">
        <v>8434</v>
      </c>
      <c r="W620" t="s">
        <v>8435</v>
      </c>
      <c r="X620" t="s">
        <v>8436</v>
      </c>
      <c r="Y620" t="s">
        <v>8437</v>
      </c>
      <c r="Z620" t="s">
        <v>74</v>
      </c>
      <c r="AA620" t="s">
        <v>8438</v>
      </c>
      <c r="AB620" t="s">
        <v>8439</v>
      </c>
      <c r="AC620" t="s">
        <v>74</v>
      </c>
      <c r="AD620" t="s">
        <v>74</v>
      </c>
      <c r="AE620" t="s">
        <v>74</v>
      </c>
      <c r="AF620" t="s">
        <v>74</v>
      </c>
      <c r="AG620">
        <v>13</v>
      </c>
      <c r="AH620">
        <v>5</v>
      </c>
      <c r="AI620">
        <v>7</v>
      </c>
      <c r="AJ620">
        <v>0</v>
      </c>
      <c r="AK620">
        <v>0</v>
      </c>
      <c r="AL620" t="s">
        <v>8440</v>
      </c>
      <c r="AM620" t="s">
        <v>8441</v>
      </c>
      <c r="AN620" t="s">
        <v>8442</v>
      </c>
      <c r="AO620" t="s">
        <v>8443</v>
      </c>
      <c r="AP620" t="s">
        <v>74</v>
      </c>
      <c r="AQ620" t="s">
        <v>74</v>
      </c>
      <c r="AR620" t="s">
        <v>8431</v>
      </c>
      <c r="AS620" t="s">
        <v>8444</v>
      </c>
      <c r="AT620" t="s">
        <v>8415</v>
      </c>
      <c r="AU620">
        <v>2000</v>
      </c>
      <c r="AV620">
        <v>114</v>
      </c>
      <c r="AW620">
        <v>3</v>
      </c>
      <c r="AX620" t="s">
        <v>74</v>
      </c>
      <c r="AY620" t="s">
        <v>74</v>
      </c>
      <c r="AZ620" t="s">
        <v>74</v>
      </c>
      <c r="BA620" t="s">
        <v>74</v>
      </c>
      <c r="BB620">
        <v>103</v>
      </c>
      <c r="BC620">
        <v>111</v>
      </c>
      <c r="BD620" t="s">
        <v>74</v>
      </c>
      <c r="BE620" t="s">
        <v>74</v>
      </c>
      <c r="BF620" t="s">
        <v>74</v>
      </c>
      <c r="BG620" t="s">
        <v>74</v>
      </c>
      <c r="BH620" t="s">
        <v>74</v>
      </c>
      <c r="BI620">
        <v>9</v>
      </c>
      <c r="BJ620" t="s">
        <v>3298</v>
      </c>
      <c r="BK620" t="s">
        <v>94</v>
      </c>
      <c r="BL620" t="s">
        <v>3298</v>
      </c>
      <c r="BM620" t="s">
        <v>8445</v>
      </c>
      <c r="BN620" t="s">
        <v>74</v>
      </c>
      <c r="BO620" t="s">
        <v>74</v>
      </c>
      <c r="BP620" t="s">
        <v>74</v>
      </c>
      <c r="BQ620" t="s">
        <v>74</v>
      </c>
      <c r="BR620" t="s">
        <v>97</v>
      </c>
      <c r="BS620" t="s">
        <v>8446</v>
      </c>
      <c r="BT620" t="str">
        <f>HYPERLINK("https%3A%2F%2Fwww.webofscience.com%2Fwos%2Fwoscc%2Ffull-record%2FWOS:000089214500004","View Full Record in Web of Science")</f>
        <v>View Full Record in Web of Science</v>
      </c>
    </row>
    <row r="621" spans="1:72" x14ac:dyDescent="0.15">
      <c r="A621" t="s">
        <v>72</v>
      </c>
      <c r="B621" t="s">
        <v>2373</v>
      </c>
      <c r="C621" t="s">
        <v>74</v>
      </c>
      <c r="D621" t="s">
        <v>74</v>
      </c>
      <c r="E621" t="s">
        <v>74</v>
      </c>
      <c r="F621" t="s">
        <v>2373</v>
      </c>
      <c r="G621" t="s">
        <v>74</v>
      </c>
      <c r="H621" t="s">
        <v>74</v>
      </c>
      <c r="I621" t="s">
        <v>8447</v>
      </c>
      <c r="J621" t="s">
        <v>8448</v>
      </c>
      <c r="K621" t="s">
        <v>74</v>
      </c>
      <c r="L621" t="s">
        <v>74</v>
      </c>
      <c r="M621" t="s">
        <v>77</v>
      </c>
      <c r="N621" t="s">
        <v>78</v>
      </c>
      <c r="O621" t="s">
        <v>74</v>
      </c>
      <c r="P621" t="s">
        <v>74</v>
      </c>
      <c r="Q621" t="s">
        <v>74</v>
      </c>
      <c r="R621" t="s">
        <v>74</v>
      </c>
      <c r="S621" t="s">
        <v>74</v>
      </c>
      <c r="T621" t="s">
        <v>74</v>
      </c>
      <c r="U621" t="s">
        <v>8449</v>
      </c>
      <c r="V621" t="s">
        <v>74</v>
      </c>
      <c r="W621" t="s">
        <v>2378</v>
      </c>
      <c r="X621" t="s">
        <v>2379</v>
      </c>
      <c r="Y621" t="s">
        <v>8450</v>
      </c>
      <c r="Z621" t="s">
        <v>74</v>
      </c>
      <c r="AA621" t="s">
        <v>8451</v>
      </c>
      <c r="AB621" t="s">
        <v>8452</v>
      </c>
      <c r="AC621" t="s">
        <v>74</v>
      </c>
      <c r="AD621" t="s">
        <v>74</v>
      </c>
      <c r="AE621" t="s">
        <v>74</v>
      </c>
      <c r="AF621" t="s">
        <v>74</v>
      </c>
      <c r="AG621">
        <v>21</v>
      </c>
      <c r="AH621">
        <v>5</v>
      </c>
      <c r="AI621">
        <v>5</v>
      </c>
      <c r="AJ621">
        <v>0</v>
      </c>
      <c r="AK621">
        <v>7</v>
      </c>
      <c r="AL621" t="s">
        <v>8453</v>
      </c>
      <c r="AM621" t="s">
        <v>8454</v>
      </c>
      <c r="AN621" t="s">
        <v>8455</v>
      </c>
      <c r="AO621" t="s">
        <v>8456</v>
      </c>
      <c r="AP621" t="s">
        <v>74</v>
      </c>
      <c r="AQ621" t="s">
        <v>74</v>
      </c>
      <c r="AR621" t="s">
        <v>8457</v>
      </c>
      <c r="AS621" t="s">
        <v>8458</v>
      </c>
      <c r="AT621" t="s">
        <v>8459</v>
      </c>
      <c r="AU621">
        <v>2000</v>
      </c>
      <c r="AV621">
        <v>8</v>
      </c>
      <c r="AW621">
        <v>2</v>
      </c>
      <c r="AX621" t="s">
        <v>74</v>
      </c>
      <c r="AY621" t="s">
        <v>74</v>
      </c>
      <c r="AZ621" t="s">
        <v>74</v>
      </c>
      <c r="BA621" t="s">
        <v>74</v>
      </c>
      <c r="BB621">
        <v>305</v>
      </c>
      <c r="BC621">
        <v>308</v>
      </c>
      <c r="BD621" t="s">
        <v>74</v>
      </c>
      <c r="BE621" t="s">
        <v>74</v>
      </c>
      <c r="BF621" t="s">
        <v>74</v>
      </c>
      <c r="BG621" t="s">
        <v>74</v>
      </c>
      <c r="BH621" t="s">
        <v>74</v>
      </c>
      <c r="BI621">
        <v>4</v>
      </c>
      <c r="BJ621" t="s">
        <v>8460</v>
      </c>
      <c r="BK621" t="s">
        <v>94</v>
      </c>
      <c r="BL621" t="s">
        <v>8460</v>
      </c>
      <c r="BM621" t="s">
        <v>8461</v>
      </c>
      <c r="BN621" t="s">
        <v>74</v>
      </c>
      <c r="BO621" t="s">
        <v>74</v>
      </c>
      <c r="BP621" t="s">
        <v>74</v>
      </c>
      <c r="BQ621" t="s">
        <v>74</v>
      </c>
      <c r="BR621" t="s">
        <v>97</v>
      </c>
      <c r="BS621" t="s">
        <v>8462</v>
      </c>
      <c r="BT621" t="str">
        <f>HYPERLINK("https%3A%2F%2Fwww.webofscience.com%2Fwos%2Fwoscc%2Ffull-record%2FWOS:000167228800021","View Full Record in Web of Science")</f>
        <v>View Full Record in Web of Science</v>
      </c>
    </row>
    <row r="622" spans="1:72" x14ac:dyDescent="0.15">
      <c r="A622" t="s">
        <v>72</v>
      </c>
      <c r="B622" t="s">
        <v>8463</v>
      </c>
      <c r="C622" t="s">
        <v>74</v>
      </c>
      <c r="D622" t="s">
        <v>74</v>
      </c>
      <c r="E622" t="s">
        <v>74</v>
      </c>
      <c r="F622" t="s">
        <v>8463</v>
      </c>
      <c r="G622" t="s">
        <v>74</v>
      </c>
      <c r="H622" t="s">
        <v>74</v>
      </c>
      <c r="I622" t="s">
        <v>8464</v>
      </c>
      <c r="J622" t="s">
        <v>8465</v>
      </c>
      <c r="K622" t="s">
        <v>74</v>
      </c>
      <c r="L622" t="s">
        <v>74</v>
      </c>
      <c r="M622" t="s">
        <v>77</v>
      </c>
      <c r="N622" t="s">
        <v>5419</v>
      </c>
      <c r="O622" t="s">
        <v>74</v>
      </c>
      <c r="P622" t="s">
        <v>74</v>
      </c>
      <c r="Q622" t="s">
        <v>74</v>
      </c>
      <c r="R622" t="s">
        <v>74</v>
      </c>
      <c r="S622" t="s">
        <v>74</v>
      </c>
      <c r="T622" t="s">
        <v>74</v>
      </c>
      <c r="U622" t="s">
        <v>74</v>
      </c>
      <c r="V622" t="s">
        <v>74</v>
      </c>
      <c r="W622" t="s">
        <v>8466</v>
      </c>
      <c r="X622" t="s">
        <v>8242</v>
      </c>
      <c r="Y622" t="s">
        <v>8467</v>
      </c>
      <c r="Z622" t="s">
        <v>74</v>
      </c>
      <c r="AA622" t="s">
        <v>74</v>
      </c>
      <c r="AB622" t="s">
        <v>74</v>
      </c>
      <c r="AC622" t="s">
        <v>74</v>
      </c>
      <c r="AD622" t="s">
        <v>74</v>
      </c>
      <c r="AE622" t="s">
        <v>74</v>
      </c>
      <c r="AF622" t="s">
        <v>74</v>
      </c>
      <c r="AG622">
        <v>1</v>
      </c>
      <c r="AH622">
        <v>0</v>
      </c>
      <c r="AI622">
        <v>0</v>
      </c>
      <c r="AJ622">
        <v>0</v>
      </c>
      <c r="AK622">
        <v>1</v>
      </c>
      <c r="AL622" t="s">
        <v>8468</v>
      </c>
      <c r="AM622" t="s">
        <v>8469</v>
      </c>
      <c r="AN622" t="s">
        <v>8470</v>
      </c>
      <c r="AO622" t="s">
        <v>8471</v>
      </c>
      <c r="AP622" t="s">
        <v>74</v>
      </c>
      <c r="AQ622" t="s">
        <v>74</v>
      </c>
      <c r="AR622" t="s">
        <v>8472</v>
      </c>
      <c r="AS622" t="s">
        <v>8473</v>
      </c>
      <c r="AT622" t="s">
        <v>8474</v>
      </c>
      <c r="AU622">
        <v>2000</v>
      </c>
      <c r="AV622">
        <v>60</v>
      </c>
      <c r="AW622">
        <v>4</v>
      </c>
      <c r="AX622" t="s">
        <v>74</v>
      </c>
      <c r="AY622" t="s">
        <v>74</v>
      </c>
      <c r="AZ622" t="s">
        <v>74</v>
      </c>
      <c r="BA622" t="s">
        <v>74</v>
      </c>
      <c r="BB622">
        <v>428</v>
      </c>
      <c r="BC622">
        <v>429</v>
      </c>
      <c r="BD622" t="s">
        <v>74</v>
      </c>
      <c r="BE622" t="s">
        <v>74</v>
      </c>
      <c r="BF622" t="s">
        <v>74</v>
      </c>
      <c r="BG622" t="s">
        <v>74</v>
      </c>
      <c r="BH622" t="s">
        <v>74</v>
      </c>
      <c r="BI622">
        <v>2</v>
      </c>
      <c r="BJ622" t="s">
        <v>5426</v>
      </c>
      <c r="BK622" t="s">
        <v>5427</v>
      </c>
      <c r="BL622" t="s">
        <v>5426</v>
      </c>
      <c r="BM622" t="s">
        <v>8475</v>
      </c>
      <c r="BN622" t="s">
        <v>74</v>
      </c>
      <c r="BO622" t="s">
        <v>74</v>
      </c>
      <c r="BP622" t="s">
        <v>74</v>
      </c>
      <c r="BQ622" t="s">
        <v>74</v>
      </c>
      <c r="BR622" t="s">
        <v>97</v>
      </c>
      <c r="BS622" t="s">
        <v>8476</v>
      </c>
      <c r="BT622" t="str">
        <f>HYPERLINK("https%3A%2F%2Fwww.webofscience.com%2Fwos%2Fwoscc%2Ffull-record%2FWOS:000174469400013","View Full Record in Web of Science")</f>
        <v>View Full Record in Web of Science</v>
      </c>
    </row>
    <row r="623" spans="1:72" x14ac:dyDescent="0.15">
      <c r="A623" t="s">
        <v>72</v>
      </c>
      <c r="B623" t="s">
        <v>8477</v>
      </c>
      <c r="C623" t="s">
        <v>74</v>
      </c>
      <c r="D623" t="s">
        <v>74</v>
      </c>
      <c r="E623" t="s">
        <v>74</v>
      </c>
      <c r="F623" t="s">
        <v>8477</v>
      </c>
      <c r="G623" t="s">
        <v>74</v>
      </c>
      <c r="H623" t="s">
        <v>74</v>
      </c>
      <c r="I623" t="s">
        <v>8478</v>
      </c>
      <c r="J623" t="s">
        <v>8479</v>
      </c>
      <c r="K623" t="s">
        <v>74</v>
      </c>
      <c r="L623" t="s">
        <v>74</v>
      </c>
      <c r="M623" t="s">
        <v>77</v>
      </c>
      <c r="N623" t="s">
        <v>5419</v>
      </c>
      <c r="O623" t="s">
        <v>74</v>
      </c>
      <c r="P623" t="s">
        <v>74</v>
      </c>
      <c r="Q623" t="s">
        <v>74</v>
      </c>
      <c r="R623" t="s">
        <v>74</v>
      </c>
      <c r="S623" t="s">
        <v>74</v>
      </c>
      <c r="T623" t="s">
        <v>74</v>
      </c>
      <c r="U623" t="s">
        <v>74</v>
      </c>
      <c r="V623" t="s">
        <v>74</v>
      </c>
      <c r="W623" t="s">
        <v>8480</v>
      </c>
      <c r="X623" t="s">
        <v>612</v>
      </c>
      <c r="Y623" t="s">
        <v>8481</v>
      </c>
      <c r="Z623" t="s">
        <v>74</v>
      </c>
      <c r="AA623" t="s">
        <v>74</v>
      </c>
      <c r="AB623" t="s">
        <v>74</v>
      </c>
      <c r="AC623" t="s">
        <v>74</v>
      </c>
      <c r="AD623" t="s">
        <v>74</v>
      </c>
      <c r="AE623" t="s">
        <v>74</v>
      </c>
      <c r="AF623" t="s">
        <v>74</v>
      </c>
      <c r="AG623">
        <v>1</v>
      </c>
      <c r="AH623">
        <v>0</v>
      </c>
      <c r="AI623">
        <v>0</v>
      </c>
      <c r="AJ623">
        <v>0</v>
      </c>
      <c r="AK623">
        <v>0</v>
      </c>
      <c r="AL623" t="s">
        <v>108</v>
      </c>
      <c r="AM623" t="s">
        <v>160</v>
      </c>
      <c r="AN623" t="s">
        <v>965</v>
      </c>
      <c r="AO623" t="s">
        <v>8482</v>
      </c>
      <c r="AP623" t="s">
        <v>8483</v>
      </c>
      <c r="AQ623" t="s">
        <v>74</v>
      </c>
      <c r="AR623" t="s">
        <v>8484</v>
      </c>
      <c r="AS623" t="s">
        <v>8485</v>
      </c>
      <c r="AT623" t="s">
        <v>8459</v>
      </c>
      <c r="AU623">
        <v>2000</v>
      </c>
      <c r="AV623">
        <v>94</v>
      </c>
      <c r="AW623">
        <v>3</v>
      </c>
      <c r="AX623" t="s">
        <v>74</v>
      </c>
      <c r="AY623" t="s">
        <v>74</v>
      </c>
      <c r="AZ623" t="s">
        <v>74</v>
      </c>
      <c r="BA623" t="s">
        <v>74</v>
      </c>
      <c r="BB623">
        <v>768</v>
      </c>
      <c r="BC623">
        <v>769</v>
      </c>
      <c r="BD623" t="s">
        <v>74</v>
      </c>
      <c r="BE623" t="s">
        <v>74</v>
      </c>
      <c r="BF623" t="s">
        <v>74</v>
      </c>
      <c r="BG623" t="s">
        <v>74</v>
      </c>
      <c r="BH623" t="s">
        <v>74</v>
      </c>
      <c r="BI623">
        <v>2</v>
      </c>
      <c r="BJ623" t="s">
        <v>8486</v>
      </c>
      <c r="BK623" t="s">
        <v>657</v>
      </c>
      <c r="BL623" t="s">
        <v>8487</v>
      </c>
      <c r="BM623" t="s">
        <v>8488</v>
      </c>
      <c r="BN623" t="s">
        <v>74</v>
      </c>
      <c r="BO623" t="s">
        <v>74</v>
      </c>
      <c r="BP623" t="s">
        <v>74</v>
      </c>
      <c r="BQ623" t="s">
        <v>74</v>
      </c>
      <c r="BR623" t="s">
        <v>97</v>
      </c>
      <c r="BS623" t="s">
        <v>8489</v>
      </c>
      <c r="BT623" t="str">
        <f>HYPERLINK("https%3A%2F%2Fwww.webofscience.com%2Fwos%2Fwoscc%2Ffull-record%2FWOS:000088910600088","View Full Record in Web of Science")</f>
        <v>View Full Record in Web of Science</v>
      </c>
    </row>
    <row r="624" spans="1:72" x14ac:dyDescent="0.15">
      <c r="A624" t="s">
        <v>72</v>
      </c>
      <c r="B624" t="s">
        <v>8490</v>
      </c>
      <c r="C624" t="s">
        <v>74</v>
      </c>
      <c r="D624" t="s">
        <v>74</v>
      </c>
      <c r="E624" t="s">
        <v>74</v>
      </c>
      <c r="F624" t="s">
        <v>8490</v>
      </c>
      <c r="G624" t="s">
        <v>74</v>
      </c>
      <c r="H624" t="s">
        <v>74</v>
      </c>
      <c r="I624" t="s">
        <v>8491</v>
      </c>
      <c r="J624" t="s">
        <v>6382</v>
      </c>
      <c r="K624" t="s">
        <v>74</v>
      </c>
      <c r="L624" t="s">
        <v>74</v>
      </c>
      <c r="M624" t="s">
        <v>77</v>
      </c>
      <c r="N624" t="s">
        <v>576</v>
      </c>
      <c r="O624" t="s">
        <v>8492</v>
      </c>
      <c r="P624" t="s">
        <v>7890</v>
      </c>
      <c r="Q624" t="s">
        <v>8493</v>
      </c>
      <c r="R624" t="s">
        <v>74</v>
      </c>
      <c r="S624" t="s">
        <v>74</v>
      </c>
      <c r="T624" t="s">
        <v>8494</v>
      </c>
      <c r="U624" t="s">
        <v>8495</v>
      </c>
      <c r="V624" t="s">
        <v>8496</v>
      </c>
      <c r="W624" t="s">
        <v>8497</v>
      </c>
      <c r="X624" t="s">
        <v>8498</v>
      </c>
      <c r="Y624" t="s">
        <v>8499</v>
      </c>
      <c r="Z624" t="s">
        <v>74</v>
      </c>
      <c r="AA624" t="s">
        <v>8500</v>
      </c>
      <c r="AB624" t="s">
        <v>8501</v>
      </c>
      <c r="AC624" t="s">
        <v>74</v>
      </c>
      <c r="AD624" t="s">
        <v>74</v>
      </c>
      <c r="AE624" t="s">
        <v>74</v>
      </c>
      <c r="AF624" t="s">
        <v>74</v>
      </c>
      <c r="AG624">
        <v>15</v>
      </c>
      <c r="AH624">
        <v>27</v>
      </c>
      <c r="AI624">
        <v>30</v>
      </c>
      <c r="AJ624">
        <v>0</v>
      </c>
      <c r="AK624">
        <v>2</v>
      </c>
      <c r="AL624" t="s">
        <v>159</v>
      </c>
      <c r="AM624" t="s">
        <v>160</v>
      </c>
      <c r="AN624" t="s">
        <v>161</v>
      </c>
      <c r="AO624" t="s">
        <v>6392</v>
      </c>
      <c r="AP624" t="s">
        <v>74</v>
      </c>
      <c r="AQ624" t="s">
        <v>74</v>
      </c>
      <c r="AR624" t="s">
        <v>6393</v>
      </c>
      <c r="AS624" t="s">
        <v>6394</v>
      </c>
      <c r="AT624" t="s">
        <v>8459</v>
      </c>
      <c r="AU624">
        <v>2000</v>
      </c>
      <c r="AV624">
        <v>18</v>
      </c>
      <c r="AW624">
        <v>9</v>
      </c>
      <c r="AX624" t="s">
        <v>74</v>
      </c>
      <c r="AY624" t="s">
        <v>74</v>
      </c>
      <c r="AZ624" t="s">
        <v>2736</v>
      </c>
      <c r="BA624" t="s">
        <v>74</v>
      </c>
      <c r="BB624">
        <v>1248</v>
      </c>
      <c r="BC624">
        <v>1255</v>
      </c>
      <c r="BD624" t="s">
        <v>74</v>
      </c>
      <c r="BE624" t="s">
        <v>8502</v>
      </c>
      <c r="BF624" t="str">
        <f>HYPERLINK("http://dx.doi.org/10.1007/s00585-000-1248-7","http://dx.doi.org/10.1007/s00585-000-1248-7")</f>
        <v>http://dx.doi.org/10.1007/s00585-000-1248-7</v>
      </c>
      <c r="BG624" t="s">
        <v>74</v>
      </c>
      <c r="BH624" t="s">
        <v>74</v>
      </c>
      <c r="BI624">
        <v>8</v>
      </c>
      <c r="BJ624" t="s">
        <v>6397</v>
      </c>
      <c r="BK624" t="s">
        <v>596</v>
      </c>
      <c r="BL624" t="s">
        <v>6398</v>
      </c>
      <c r="BM624" t="s">
        <v>8503</v>
      </c>
      <c r="BN624" t="s">
        <v>74</v>
      </c>
      <c r="BO624" t="s">
        <v>8504</v>
      </c>
      <c r="BP624" t="s">
        <v>74</v>
      </c>
      <c r="BQ624" t="s">
        <v>74</v>
      </c>
      <c r="BR624" t="s">
        <v>97</v>
      </c>
      <c r="BS624" t="s">
        <v>8505</v>
      </c>
      <c r="BT624" t="str">
        <f>HYPERLINK("https%3A%2F%2Fwww.webofscience.com%2Fwos%2Fwoscc%2Ffull-record%2FWOS:000089761800027","View Full Record in Web of Science")</f>
        <v>View Full Record in Web of Science</v>
      </c>
    </row>
    <row r="625" spans="1:72" x14ac:dyDescent="0.15">
      <c r="A625" t="s">
        <v>72</v>
      </c>
      <c r="B625" t="s">
        <v>8506</v>
      </c>
      <c r="C625" t="s">
        <v>74</v>
      </c>
      <c r="D625" t="s">
        <v>74</v>
      </c>
      <c r="E625" t="s">
        <v>74</v>
      </c>
      <c r="F625" t="s">
        <v>8506</v>
      </c>
      <c r="G625" t="s">
        <v>74</v>
      </c>
      <c r="H625" t="s">
        <v>74</v>
      </c>
      <c r="I625" t="s">
        <v>8507</v>
      </c>
      <c r="J625" t="s">
        <v>5085</v>
      </c>
      <c r="K625" t="s">
        <v>74</v>
      </c>
      <c r="L625" t="s">
        <v>74</v>
      </c>
      <c r="M625" t="s">
        <v>77</v>
      </c>
      <c r="N625" t="s">
        <v>2004</v>
      </c>
      <c r="O625" t="s">
        <v>74</v>
      </c>
      <c r="P625" t="s">
        <v>74</v>
      </c>
      <c r="Q625" t="s">
        <v>74</v>
      </c>
      <c r="R625" t="s">
        <v>74</v>
      </c>
      <c r="S625" t="s">
        <v>74</v>
      </c>
      <c r="T625" t="s">
        <v>74</v>
      </c>
      <c r="U625" t="s">
        <v>74</v>
      </c>
      <c r="V625" t="s">
        <v>74</v>
      </c>
      <c r="W625" t="s">
        <v>8508</v>
      </c>
      <c r="X625" t="s">
        <v>221</v>
      </c>
      <c r="Y625" t="s">
        <v>8509</v>
      </c>
      <c r="Z625" t="s">
        <v>74</v>
      </c>
      <c r="AA625" t="s">
        <v>74</v>
      </c>
      <c r="AB625" t="s">
        <v>74</v>
      </c>
      <c r="AC625" t="s">
        <v>74</v>
      </c>
      <c r="AD625" t="s">
        <v>74</v>
      </c>
      <c r="AE625" t="s">
        <v>74</v>
      </c>
      <c r="AF625" t="s">
        <v>74</v>
      </c>
      <c r="AG625">
        <v>0</v>
      </c>
      <c r="AH625">
        <v>5</v>
      </c>
      <c r="AI625">
        <v>5</v>
      </c>
      <c r="AJ625">
        <v>0</v>
      </c>
      <c r="AK625">
        <v>0</v>
      </c>
      <c r="AL625" t="s">
        <v>108</v>
      </c>
      <c r="AM625" t="s">
        <v>160</v>
      </c>
      <c r="AN625" t="s">
        <v>5086</v>
      </c>
      <c r="AO625" t="s">
        <v>5087</v>
      </c>
      <c r="AP625" t="s">
        <v>74</v>
      </c>
      <c r="AQ625" t="s">
        <v>74</v>
      </c>
      <c r="AR625" t="s">
        <v>5088</v>
      </c>
      <c r="AS625" t="s">
        <v>5089</v>
      </c>
      <c r="AT625" t="s">
        <v>8459</v>
      </c>
      <c r="AU625">
        <v>2000</v>
      </c>
      <c r="AV625">
        <v>12</v>
      </c>
      <c r="AW625">
        <v>3</v>
      </c>
      <c r="AX625" t="s">
        <v>74</v>
      </c>
      <c r="AY625" t="s">
        <v>74</v>
      </c>
      <c r="AZ625" t="s">
        <v>74</v>
      </c>
      <c r="BA625" t="s">
        <v>74</v>
      </c>
      <c r="BB625">
        <v>257</v>
      </c>
      <c r="BC625">
        <v>257</v>
      </c>
      <c r="BD625" t="s">
        <v>74</v>
      </c>
      <c r="BE625" t="s">
        <v>8510</v>
      </c>
      <c r="BF625" t="str">
        <f>HYPERLINK("http://dx.doi.org/10.1017/S0954102000000316","http://dx.doi.org/10.1017/S0954102000000316")</f>
        <v>http://dx.doi.org/10.1017/S0954102000000316</v>
      </c>
      <c r="BG625" t="s">
        <v>74</v>
      </c>
      <c r="BH625" t="s">
        <v>74</v>
      </c>
      <c r="BI625">
        <v>1</v>
      </c>
      <c r="BJ625" t="s">
        <v>5090</v>
      </c>
      <c r="BK625" t="s">
        <v>94</v>
      </c>
      <c r="BL625" t="s">
        <v>5091</v>
      </c>
      <c r="BM625" t="s">
        <v>8511</v>
      </c>
      <c r="BN625" t="s">
        <v>74</v>
      </c>
      <c r="BO625" t="s">
        <v>1755</v>
      </c>
      <c r="BP625" t="s">
        <v>74</v>
      </c>
      <c r="BQ625" t="s">
        <v>74</v>
      </c>
      <c r="BR625" t="s">
        <v>97</v>
      </c>
      <c r="BS625" t="s">
        <v>8512</v>
      </c>
      <c r="BT625" t="str">
        <f>HYPERLINK("https%3A%2F%2Fwww.webofscience.com%2Fwos%2Fwoscc%2Ffull-record%2FWOS:000089703600001","View Full Record in Web of Science")</f>
        <v>View Full Record in Web of Science</v>
      </c>
    </row>
    <row r="626" spans="1:72" x14ac:dyDescent="0.15">
      <c r="A626" t="s">
        <v>72</v>
      </c>
      <c r="B626" t="s">
        <v>8513</v>
      </c>
      <c r="C626" t="s">
        <v>74</v>
      </c>
      <c r="D626" t="s">
        <v>74</v>
      </c>
      <c r="E626" t="s">
        <v>74</v>
      </c>
      <c r="F626" t="s">
        <v>8513</v>
      </c>
      <c r="G626" t="s">
        <v>74</v>
      </c>
      <c r="H626" t="s">
        <v>74</v>
      </c>
      <c r="I626" t="s">
        <v>8514</v>
      </c>
      <c r="J626" t="s">
        <v>5085</v>
      </c>
      <c r="K626" t="s">
        <v>74</v>
      </c>
      <c r="L626" t="s">
        <v>74</v>
      </c>
      <c r="M626" t="s">
        <v>77</v>
      </c>
      <c r="N626" t="s">
        <v>2004</v>
      </c>
      <c r="O626" t="s">
        <v>74</v>
      </c>
      <c r="P626" t="s">
        <v>74</v>
      </c>
      <c r="Q626" t="s">
        <v>74</v>
      </c>
      <c r="R626" t="s">
        <v>74</v>
      </c>
      <c r="S626" t="s">
        <v>74</v>
      </c>
      <c r="T626" t="s">
        <v>74</v>
      </c>
      <c r="U626" t="s">
        <v>74</v>
      </c>
      <c r="V626" t="s">
        <v>74</v>
      </c>
      <c r="W626" t="s">
        <v>74</v>
      </c>
      <c r="X626" t="s">
        <v>74</v>
      </c>
      <c r="Y626" t="s">
        <v>74</v>
      </c>
      <c r="Z626" t="s">
        <v>74</v>
      </c>
      <c r="AA626" t="s">
        <v>74</v>
      </c>
      <c r="AB626" t="s">
        <v>74</v>
      </c>
      <c r="AC626" t="s">
        <v>74</v>
      </c>
      <c r="AD626" t="s">
        <v>74</v>
      </c>
      <c r="AE626" t="s">
        <v>74</v>
      </c>
      <c r="AF626" t="s">
        <v>74</v>
      </c>
      <c r="AG626">
        <v>0</v>
      </c>
      <c r="AH626">
        <v>2</v>
      </c>
      <c r="AI626">
        <v>2</v>
      </c>
      <c r="AJ626">
        <v>0</v>
      </c>
      <c r="AK626">
        <v>0</v>
      </c>
      <c r="AL626" t="s">
        <v>108</v>
      </c>
      <c r="AM626" t="s">
        <v>160</v>
      </c>
      <c r="AN626" t="s">
        <v>5086</v>
      </c>
      <c r="AO626" t="s">
        <v>5087</v>
      </c>
      <c r="AP626" t="s">
        <v>74</v>
      </c>
      <c r="AQ626" t="s">
        <v>74</v>
      </c>
      <c r="AR626" t="s">
        <v>5088</v>
      </c>
      <c r="AS626" t="s">
        <v>5089</v>
      </c>
      <c r="AT626" t="s">
        <v>8459</v>
      </c>
      <c r="AU626">
        <v>2000</v>
      </c>
      <c r="AV626">
        <v>12</v>
      </c>
      <c r="AW626">
        <v>3</v>
      </c>
      <c r="AX626" t="s">
        <v>74</v>
      </c>
      <c r="AY626" t="s">
        <v>74</v>
      </c>
      <c r="AZ626" t="s">
        <v>74</v>
      </c>
      <c r="BA626" t="s">
        <v>74</v>
      </c>
      <c r="BB626">
        <v>258</v>
      </c>
      <c r="BC626">
        <v>258</v>
      </c>
      <c r="BD626" t="s">
        <v>74</v>
      </c>
      <c r="BE626" t="s">
        <v>74</v>
      </c>
      <c r="BF626" t="s">
        <v>74</v>
      </c>
      <c r="BG626" t="s">
        <v>74</v>
      </c>
      <c r="BH626" t="s">
        <v>74</v>
      </c>
      <c r="BI626">
        <v>1</v>
      </c>
      <c r="BJ626" t="s">
        <v>5090</v>
      </c>
      <c r="BK626" t="s">
        <v>94</v>
      </c>
      <c r="BL626" t="s">
        <v>5091</v>
      </c>
      <c r="BM626" t="s">
        <v>8511</v>
      </c>
      <c r="BN626" t="s">
        <v>74</v>
      </c>
      <c r="BO626" t="s">
        <v>74</v>
      </c>
      <c r="BP626" t="s">
        <v>74</v>
      </c>
      <c r="BQ626" t="s">
        <v>74</v>
      </c>
      <c r="BR626" t="s">
        <v>97</v>
      </c>
      <c r="BS626" t="s">
        <v>8515</v>
      </c>
      <c r="BT626" t="str">
        <f>HYPERLINK("https%3A%2F%2Fwww.webofscience.com%2Fwos%2Fwoscc%2Ffull-record%2FWOS:000089703600002","View Full Record in Web of Science")</f>
        <v>View Full Record in Web of Science</v>
      </c>
    </row>
    <row r="627" spans="1:72" x14ac:dyDescent="0.15">
      <c r="A627" t="s">
        <v>72</v>
      </c>
      <c r="B627" t="s">
        <v>8516</v>
      </c>
      <c r="C627" t="s">
        <v>74</v>
      </c>
      <c r="D627" t="s">
        <v>74</v>
      </c>
      <c r="E627" t="s">
        <v>74</v>
      </c>
      <c r="F627" t="s">
        <v>8516</v>
      </c>
      <c r="G627" t="s">
        <v>74</v>
      </c>
      <c r="H627" t="s">
        <v>74</v>
      </c>
      <c r="I627" t="s">
        <v>8517</v>
      </c>
      <c r="J627" t="s">
        <v>5085</v>
      </c>
      <c r="K627" t="s">
        <v>74</v>
      </c>
      <c r="L627" t="s">
        <v>74</v>
      </c>
      <c r="M627" t="s">
        <v>77</v>
      </c>
      <c r="N627" t="s">
        <v>576</v>
      </c>
      <c r="O627" t="s">
        <v>8518</v>
      </c>
      <c r="P627" t="s">
        <v>8519</v>
      </c>
      <c r="Q627" t="s">
        <v>8520</v>
      </c>
      <c r="R627" t="s">
        <v>74</v>
      </c>
      <c r="S627" t="s">
        <v>8521</v>
      </c>
      <c r="T627" t="s">
        <v>8522</v>
      </c>
      <c r="U627" t="s">
        <v>8523</v>
      </c>
      <c r="V627" t="s">
        <v>8524</v>
      </c>
      <c r="W627" t="s">
        <v>8525</v>
      </c>
      <c r="X627" t="s">
        <v>8526</v>
      </c>
      <c r="Y627" t="s">
        <v>8527</v>
      </c>
      <c r="Z627" t="s">
        <v>74</v>
      </c>
      <c r="AA627" t="s">
        <v>8528</v>
      </c>
      <c r="AB627" t="s">
        <v>8529</v>
      </c>
      <c r="AC627" t="s">
        <v>74</v>
      </c>
      <c r="AD627" t="s">
        <v>74</v>
      </c>
      <c r="AE627" t="s">
        <v>74</v>
      </c>
      <c r="AF627" t="s">
        <v>74</v>
      </c>
      <c r="AG627">
        <v>35</v>
      </c>
      <c r="AH627">
        <v>55</v>
      </c>
      <c r="AI627">
        <v>57</v>
      </c>
      <c r="AJ627">
        <v>0</v>
      </c>
      <c r="AK627">
        <v>7</v>
      </c>
      <c r="AL627" t="s">
        <v>108</v>
      </c>
      <c r="AM627" t="s">
        <v>160</v>
      </c>
      <c r="AN627" t="s">
        <v>5086</v>
      </c>
      <c r="AO627" t="s">
        <v>5087</v>
      </c>
      <c r="AP627" t="s">
        <v>74</v>
      </c>
      <c r="AQ627" t="s">
        <v>74</v>
      </c>
      <c r="AR627" t="s">
        <v>5088</v>
      </c>
      <c r="AS627" t="s">
        <v>5089</v>
      </c>
      <c r="AT627" t="s">
        <v>8459</v>
      </c>
      <c r="AU627">
        <v>2000</v>
      </c>
      <c r="AV627">
        <v>12</v>
      </c>
      <c r="AW627">
        <v>3</v>
      </c>
      <c r="AX627" t="s">
        <v>74</v>
      </c>
      <c r="AY627" t="s">
        <v>74</v>
      </c>
      <c r="AZ627" t="s">
        <v>74</v>
      </c>
      <c r="BA627" t="s">
        <v>74</v>
      </c>
      <c r="BB627">
        <v>259</v>
      </c>
      <c r="BC627">
        <v>268</v>
      </c>
      <c r="BD627" t="s">
        <v>74</v>
      </c>
      <c r="BE627" t="s">
        <v>8530</v>
      </c>
      <c r="BF627" t="str">
        <f>HYPERLINK("http://dx.doi.org/10.1017/S0954102000000328","http://dx.doi.org/10.1017/S0954102000000328")</f>
        <v>http://dx.doi.org/10.1017/S0954102000000328</v>
      </c>
      <c r="BG627" t="s">
        <v>74</v>
      </c>
      <c r="BH627" t="s">
        <v>74</v>
      </c>
      <c r="BI627">
        <v>10</v>
      </c>
      <c r="BJ627" t="s">
        <v>5090</v>
      </c>
      <c r="BK627" t="s">
        <v>596</v>
      </c>
      <c r="BL627" t="s">
        <v>5091</v>
      </c>
      <c r="BM627" t="s">
        <v>8511</v>
      </c>
      <c r="BN627" t="s">
        <v>74</v>
      </c>
      <c r="BO627" t="s">
        <v>74</v>
      </c>
      <c r="BP627" t="s">
        <v>74</v>
      </c>
      <c r="BQ627" t="s">
        <v>74</v>
      </c>
      <c r="BR627" t="s">
        <v>97</v>
      </c>
      <c r="BS627" t="s">
        <v>8531</v>
      </c>
      <c r="BT627" t="str">
        <f>HYPERLINK("https%3A%2F%2Fwww.webofscience.com%2Fwos%2Fwoscc%2Ffull-record%2FWOS:000089703600003","View Full Record in Web of Science")</f>
        <v>View Full Record in Web of Science</v>
      </c>
    </row>
    <row r="628" spans="1:72" x14ac:dyDescent="0.15">
      <c r="A628" t="s">
        <v>72</v>
      </c>
      <c r="B628" t="s">
        <v>8532</v>
      </c>
      <c r="C628" t="s">
        <v>74</v>
      </c>
      <c r="D628" t="s">
        <v>74</v>
      </c>
      <c r="E628" t="s">
        <v>74</v>
      </c>
      <c r="F628" t="s">
        <v>8532</v>
      </c>
      <c r="G628" t="s">
        <v>74</v>
      </c>
      <c r="H628" t="s">
        <v>74</v>
      </c>
      <c r="I628" t="s">
        <v>8533</v>
      </c>
      <c r="J628" t="s">
        <v>5085</v>
      </c>
      <c r="K628" t="s">
        <v>74</v>
      </c>
      <c r="L628" t="s">
        <v>74</v>
      </c>
      <c r="M628" t="s">
        <v>77</v>
      </c>
      <c r="N628" t="s">
        <v>576</v>
      </c>
      <c r="O628" t="s">
        <v>8518</v>
      </c>
      <c r="P628" t="s">
        <v>8519</v>
      </c>
      <c r="Q628" t="s">
        <v>8520</v>
      </c>
      <c r="R628" t="s">
        <v>74</v>
      </c>
      <c r="S628" t="s">
        <v>8521</v>
      </c>
      <c r="T628" t="s">
        <v>8534</v>
      </c>
      <c r="U628" t="s">
        <v>8535</v>
      </c>
      <c r="V628" t="s">
        <v>8536</v>
      </c>
      <c r="W628" t="s">
        <v>8537</v>
      </c>
      <c r="X628" t="s">
        <v>8538</v>
      </c>
      <c r="Y628" t="s">
        <v>8539</v>
      </c>
      <c r="Z628" t="s">
        <v>74</v>
      </c>
      <c r="AA628" t="s">
        <v>8540</v>
      </c>
      <c r="AB628" t="s">
        <v>74</v>
      </c>
      <c r="AC628" t="s">
        <v>74</v>
      </c>
      <c r="AD628" t="s">
        <v>74</v>
      </c>
      <c r="AE628" t="s">
        <v>74</v>
      </c>
      <c r="AF628" t="s">
        <v>74</v>
      </c>
      <c r="AG628">
        <v>48</v>
      </c>
      <c r="AH628">
        <v>35</v>
      </c>
      <c r="AI628">
        <v>36</v>
      </c>
      <c r="AJ628">
        <v>0</v>
      </c>
      <c r="AK628">
        <v>3</v>
      </c>
      <c r="AL628" t="s">
        <v>108</v>
      </c>
      <c r="AM628" t="s">
        <v>160</v>
      </c>
      <c r="AN628" t="s">
        <v>5086</v>
      </c>
      <c r="AO628" t="s">
        <v>5087</v>
      </c>
      <c r="AP628" t="s">
        <v>74</v>
      </c>
      <c r="AQ628" t="s">
        <v>74</v>
      </c>
      <c r="AR628" t="s">
        <v>5088</v>
      </c>
      <c r="AS628" t="s">
        <v>5089</v>
      </c>
      <c r="AT628" t="s">
        <v>8459</v>
      </c>
      <c r="AU628">
        <v>2000</v>
      </c>
      <c r="AV628">
        <v>12</v>
      </c>
      <c r="AW628">
        <v>3</v>
      </c>
      <c r="AX628" t="s">
        <v>74</v>
      </c>
      <c r="AY628" t="s">
        <v>74</v>
      </c>
      <c r="AZ628" t="s">
        <v>74</v>
      </c>
      <c r="BA628" t="s">
        <v>74</v>
      </c>
      <c r="BB628">
        <v>269</v>
      </c>
      <c r="BC628">
        <v>275</v>
      </c>
      <c r="BD628" t="s">
        <v>74</v>
      </c>
      <c r="BE628" t="s">
        <v>8541</v>
      </c>
      <c r="BF628" t="str">
        <f>HYPERLINK("http://dx.doi.org/10.1017/S095410200000033X","http://dx.doi.org/10.1017/S095410200000033X")</f>
        <v>http://dx.doi.org/10.1017/S095410200000033X</v>
      </c>
      <c r="BG628" t="s">
        <v>74</v>
      </c>
      <c r="BH628" t="s">
        <v>74</v>
      </c>
      <c r="BI628">
        <v>7</v>
      </c>
      <c r="BJ628" t="s">
        <v>5090</v>
      </c>
      <c r="BK628" t="s">
        <v>596</v>
      </c>
      <c r="BL628" t="s">
        <v>5091</v>
      </c>
      <c r="BM628" t="s">
        <v>8511</v>
      </c>
      <c r="BN628" t="s">
        <v>74</v>
      </c>
      <c r="BO628" t="s">
        <v>74</v>
      </c>
      <c r="BP628" t="s">
        <v>74</v>
      </c>
      <c r="BQ628" t="s">
        <v>74</v>
      </c>
      <c r="BR628" t="s">
        <v>97</v>
      </c>
      <c r="BS628" t="s">
        <v>8542</v>
      </c>
      <c r="BT628" t="str">
        <f>HYPERLINK("https%3A%2F%2Fwww.webofscience.com%2Fwos%2Fwoscc%2Ffull-record%2FWOS:000089703600004","View Full Record in Web of Science")</f>
        <v>View Full Record in Web of Science</v>
      </c>
    </row>
    <row r="629" spans="1:72" x14ac:dyDescent="0.15">
      <c r="A629" t="s">
        <v>72</v>
      </c>
      <c r="B629" t="s">
        <v>8543</v>
      </c>
      <c r="C629" t="s">
        <v>74</v>
      </c>
      <c r="D629" t="s">
        <v>74</v>
      </c>
      <c r="E629" t="s">
        <v>74</v>
      </c>
      <c r="F629" t="s">
        <v>8543</v>
      </c>
      <c r="G629" t="s">
        <v>74</v>
      </c>
      <c r="H629" t="s">
        <v>74</v>
      </c>
      <c r="I629" t="s">
        <v>8544</v>
      </c>
      <c r="J629" t="s">
        <v>5085</v>
      </c>
      <c r="K629" t="s">
        <v>74</v>
      </c>
      <c r="L629" t="s">
        <v>74</v>
      </c>
      <c r="M629" t="s">
        <v>77</v>
      </c>
      <c r="N629" t="s">
        <v>576</v>
      </c>
      <c r="O629" t="s">
        <v>8518</v>
      </c>
      <c r="P629" t="s">
        <v>8519</v>
      </c>
      <c r="Q629" t="s">
        <v>8520</v>
      </c>
      <c r="R629" t="s">
        <v>74</v>
      </c>
      <c r="S629" t="s">
        <v>8521</v>
      </c>
      <c r="T629" t="s">
        <v>8545</v>
      </c>
      <c r="U629" t="s">
        <v>8546</v>
      </c>
      <c r="V629" t="s">
        <v>8547</v>
      </c>
      <c r="W629" t="s">
        <v>8548</v>
      </c>
      <c r="X629" t="s">
        <v>8549</v>
      </c>
      <c r="Y629" t="s">
        <v>8550</v>
      </c>
      <c r="Z629" t="s">
        <v>8551</v>
      </c>
      <c r="AA629" t="s">
        <v>5594</v>
      </c>
      <c r="AB629" t="s">
        <v>5595</v>
      </c>
      <c r="AC629" t="s">
        <v>74</v>
      </c>
      <c r="AD629" t="s">
        <v>74</v>
      </c>
      <c r="AE629" t="s">
        <v>74</v>
      </c>
      <c r="AF629" t="s">
        <v>74</v>
      </c>
      <c r="AG629">
        <v>105</v>
      </c>
      <c r="AH629">
        <v>85</v>
      </c>
      <c r="AI629">
        <v>92</v>
      </c>
      <c r="AJ629">
        <v>2</v>
      </c>
      <c r="AK629">
        <v>17</v>
      </c>
      <c r="AL629" t="s">
        <v>108</v>
      </c>
      <c r="AM629" t="s">
        <v>160</v>
      </c>
      <c r="AN629" t="s">
        <v>965</v>
      </c>
      <c r="AO629" t="s">
        <v>5087</v>
      </c>
      <c r="AP629" t="s">
        <v>5108</v>
      </c>
      <c r="AQ629" t="s">
        <v>74</v>
      </c>
      <c r="AR629" t="s">
        <v>5088</v>
      </c>
      <c r="AS629" t="s">
        <v>5089</v>
      </c>
      <c r="AT629" t="s">
        <v>8459</v>
      </c>
      <c r="AU629">
        <v>2000</v>
      </c>
      <c r="AV629">
        <v>12</v>
      </c>
      <c r="AW629">
        <v>3</v>
      </c>
      <c r="AX629" t="s">
        <v>74</v>
      </c>
      <c r="AY629" t="s">
        <v>74</v>
      </c>
      <c r="AZ629" t="s">
        <v>74</v>
      </c>
      <c r="BA629" t="s">
        <v>74</v>
      </c>
      <c r="BB629">
        <v>276</v>
      </c>
      <c r="BC629">
        <v>287</v>
      </c>
      <c r="BD629" t="s">
        <v>74</v>
      </c>
      <c r="BE629" t="s">
        <v>8552</v>
      </c>
      <c r="BF629" t="str">
        <f>HYPERLINK("http://dx.doi.org/10.1017/S0954102000000341","http://dx.doi.org/10.1017/S0954102000000341")</f>
        <v>http://dx.doi.org/10.1017/S0954102000000341</v>
      </c>
      <c r="BG629" t="s">
        <v>74</v>
      </c>
      <c r="BH629" t="s">
        <v>74</v>
      </c>
      <c r="BI629">
        <v>12</v>
      </c>
      <c r="BJ629" t="s">
        <v>5090</v>
      </c>
      <c r="BK629" t="s">
        <v>2763</v>
      </c>
      <c r="BL629" t="s">
        <v>5091</v>
      </c>
      <c r="BM629" t="s">
        <v>8511</v>
      </c>
      <c r="BN629" t="s">
        <v>74</v>
      </c>
      <c r="BO629" t="s">
        <v>74</v>
      </c>
      <c r="BP629" t="s">
        <v>74</v>
      </c>
      <c r="BQ629" t="s">
        <v>74</v>
      </c>
      <c r="BR629" t="s">
        <v>97</v>
      </c>
      <c r="BS629" t="s">
        <v>8553</v>
      </c>
      <c r="BT629" t="str">
        <f>HYPERLINK("https%3A%2F%2Fwww.webofscience.com%2Fwos%2Fwoscc%2Ffull-record%2FWOS:000089703600005","View Full Record in Web of Science")</f>
        <v>View Full Record in Web of Science</v>
      </c>
    </row>
    <row r="630" spans="1:72" x14ac:dyDescent="0.15">
      <c r="A630" t="s">
        <v>72</v>
      </c>
      <c r="B630" t="s">
        <v>8554</v>
      </c>
      <c r="C630" t="s">
        <v>74</v>
      </c>
      <c r="D630" t="s">
        <v>74</v>
      </c>
      <c r="E630" t="s">
        <v>74</v>
      </c>
      <c r="F630" t="s">
        <v>8554</v>
      </c>
      <c r="G630" t="s">
        <v>74</v>
      </c>
      <c r="H630" t="s">
        <v>74</v>
      </c>
      <c r="I630" t="s">
        <v>8555</v>
      </c>
      <c r="J630" t="s">
        <v>5085</v>
      </c>
      <c r="K630" t="s">
        <v>74</v>
      </c>
      <c r="L630" t="s">
        <v>74</v>
      </c>
      <c r="M630" t="s">
        <v>77</v>
      </c>
      <c r="N630" t="s">
        <v>576</v>
      </c>
      <c r="O630" t="s">
        <v>8518</v>
      </c>
      <c r="P630" t="s">
        <v>8519</v>
      </c>
      <c r="Q630" t="s">
        <v>8520</v>
      </c>
      <c r="R630" t="s">
        <v>74</v>
      </c>
      <c r="S630" t="s">
        <v>8521</v>
      </c>
      <c r="T630" t="s">
        <v>8556</v>
      </c>
      <c r="U630" t="s">
        <v>8557</v>
      </c>
      <c r="V630" t="s">
        <v>8558</v>
      </c>
      <c r="W630" t="s">
        <v>3003</v>
      </c>
      <c r="X630" t="s">
        <v>3004</v>
      </c>
      <c r="Y630" t="s">
        <v>8559</v>
      </c>
      <c r="Z630" t="s">
        <v>74</v>
      </c>
      <c r="AA630" t="s">
        <v>74</v>
      </c>
      <c r="AB630" t="s">
        <v>74</v>
      </c>
      <c r="AC630" t="s">
        <v>74</v>
      </c>
      <c r="AD630" t="s">
        <v>74</v>
      </c>
      <c r="AE630" t="s">
        <v>74</v>
      </c>
      <c r="AF630" t="s">
        <v>74</v>
      </c>
      <c r="AG630">
        <v>37</v>
      </c>
      <c r="AH630">
        <v>14</v>
      </c>
      <c r="AI630">
        <v>15</v>
      </c>
      <c r="AJ630">
        <v>0</v>
      </c>
      <c r="AK630">
        <v>4</v>
      </c>
      <c r="AL630" t="s">
        <v>108</v>
      </c>
      <c r="AM630" t="s">
        <v>160</v>
      </c>
      <c r="AN630" t="s">
        <v>5086</v>
      </c>
      <c r="AO630" t="s">
        <v>5087</v>
      </c>
      <c r="AP630" t="s">
        <v>74</v>
      </c>
      <c r="AQ630" t="s">
        <v>74</v>
      </c>
      <c r="AR630" t="s">
        <v>5088</v>
      </c>
      <c r="AS630" t="s">
        <v>5089</v>
      </c>
      <c r="AT630" t="s">
        <v>8459</v>
      </c>
      <c r="AU630">
        <v>2000</v>
      </c>
      <c r="AV630">
        <v>12</v>
      </c>
      <c r="AW630">
        <v>3</v>
      </c>
      <c r="AX630" t="s">
        <v>74</v>
      </c>
      <c r="AY630" t="s">
        <v>74</v>
      </c>
      <c r="AZ630" t="s">
        <v>74</v>
      </c>
      <c r="BA630" t="s">
        <v>74</v>
      </c>
      <c r="BB630">
        <v>288</v>
      </c>
      <c r="BC630">
        <v>296</v>
      </c>
      <c r="BD630" t="s">
        <v>74</v>
      </c>
      <c r="BE630" t="s">
        <v>8560</v>
      </c>
      <c r="BF630" t="str">
        <f>HYPERLINK("http://dx.doi.org/10.1017/S0954102000000353","http://dx.doi.org/10.1017/S0954102000000353")</f>
        <v>http://dx.doi.org/10.1017/S0954102000000353</v>
      </c>
      <c r="BG630" t="s">
        <v>74</v>
      </c>
      <c r="BH630" t="s">
        <v>74</v>
      </c>
      <c r="BI630">
        <v>9</v>
      </c>
      <c r="BJ630" t="s">
        <v>5090</v>
      </c>
      <c r="BK630" t="s">
        <v>596</v>
      </c>
      <c r="BL630" t="s">
        <v>5091</v>
      </c>
      <c r="BM630" t="s">
        <v>8511</v>
      </c>
      <c r="BN630" t="s">
        <v>74</v>
      </c>
      <c r="BO630" t="s">
        <v>74</v>
      </c>
      <c r="BP630" t="s">
        <v>74</v>
      </c>
      <c r="BQ630" t="s">
        <v>74</v>
      </c>
      <c r="BR630" t="s">
        <v>97</v>
      </c>
      <c r="BS630" t="s">
        <v>8561</v>
      </c>
      <c r="BT630" t="str">
        <f>HYPERLINK("https%3A%2F%2Fwww.webofscience.com%2Fwos%2Fwoscc%2Ffull-record%2FWOS:000089703600006","View Full Record in Web of Science")</f>
        <v>View Full Record in Web of Science</v>
      </c>
    </row>
    <row r="631" spans="1:72" x14ac:dyDescent="0.15">
      <c r="A631" t="s">
        <v>72</v>
      </c>
      <c r="B631" t="s">
        <v>8562</v>
      </c>
      <c r="C631" t="s">
        <v>74</v>
      </c>
      <c r="D631" t="s">
        <v>74</v>
      </c>
      <c r="E631" t="s">
        <v>74</v>
      </c>
      <c r="F631" t="s">
        <v>8562</v>
      </c>
      <c r="G631" t="s">
        <v>74</v>
      </c>
      <c r="H631" t="s">
        <v>74</v>
      </c>
      <c r="I631" t="s">
        <v>8563</v>
      </c>
      <c r="J631" t="s">
        <v>5085</v>
      </c>
      <c r="K631" t="s">
        <v>74</v>
      </c>
      <c r="L631" t="s">
        <v>74</v>
      </c>
      <c r="M631" t="s">
        <v>77</v>
      </c>
      <c r="N631" t="s">
        <v>576</v>
      </c>
      <c r="O631" t="s">
        <v>8518</v>
      </c>
      <c r="P631" t="s">
        <v>8519</v>
      </c>
      <c r="Q631" t="s">
        <v>8520</v>
      </c>
      <c r="R631" t="s">
        <v>74</v>
      </c>
      <c r="S631" t="s">
        <v>8521</v>
      </c>
      <c r="T631" t="s">
        <v>8564</v>
      </c>
      <c r="U631" t="s">
        <v>8565</v>
      </c>
      <c r="V631" t="s">
        <v>8566</v>
      </c>
      <c r="W631" t="s">
        <v>7955</v>
      </c>
      <c r="X631" t="s">
        <v>1250</v>
      </c>
      <c r="Y631" t="s">
        <v>7956</v>
      </c>
      <c r="Z631" t="s">
        <v>8567</v>
      </c>
      <c r="AA631" t="s">
        <v>74</v>
      </c>
      <c r="AB631" t="s">
        <v>8568</v>
      </c>
      <c r="AC631" t="s">
        <v>74</v>
      </c>
      <c r="AD631" t="s">
        <v>74</v>
      </c>
      <c r="AE631" t="s">
        <v>74</v>
      </c>
      <c r="AF631" t="s">
        <v>74</v>
      </c>
      <c r="AG631">
        <v>171</v>
      </c>
      <c r="AH631">
        <v>93</v>
      </c>
      <c r="AI631">
        <v>97</v>
      </c>
      <c r="AJ631">
        <v>0</v>
      </c>
      <c r="AK631">
        <v>25</v>
      </c>
      <c r="AL631" t="s">
        <v>108</v>
      </c>
      <c r="AM631" t="s">
        <v>160</v>
      </c>
      <c r="AN631" t="s">
        <v>965</v>
      </c>
      <c r="AO631" t="s">
        <v>5087</v>
      </c>
      <c r="AP631" t="s">
        <v>5108</v>
      </c>
      <c r="AQ631" t="s">
        <v>74</v>
      </c>
      <c r="AR631" t="s">
        <v>5088</v>
      </c>
      <c r="AS631" t="s">
        <v>5089</v>
      </c>
      <c r="AT631" t="s">
        <v>8459</v>
      </c>
      <c r="AU631">
        <v>2000</v>
      </c>
      <c r="AV631">
        <v>12</v>
      </c>
      <c r="AW631">
        <v>3</v>
      </c>
      <c r="AX631" t="s">
        <v>74</v>
      </c>
      <c r="AY631" t="s">
        <v>74</v>
      </c>
      <c r="AZ631" t="s">
        <v>74</v>
      </c>
      <c r="BA631" t="s">
        <v>74</v>
      </c>
      <c r="BB631">
        <v>297</v>
      </c>
      <c r="BC631">
        <v>313</v>
      </c>
      <c r="BD631" t="s">
        <v>74</v>
      </c>
      <c r="BE631" t="s">
        <v>8569</v>
      </c>
      <c r="BF631" t="str">
        <f>HYPERLINK("http://dx.doi.org/10.1017/S0954102000000365","http://dx.doi.org/10.1017/S0954102000000365")</f>
        <v>http://dx.doi.org/10.1017/S0954102000000365</v>
      </c>
      <c r="BG631" t="s">
        <v>74</v>
      </c>
      <c r="BH631" t="s">
        <v>74</v>
      </c>
      <c r="BI631">
        <v>17</v>
      </c>
      <c r="BJ631" t="s">
        <v>5090</v>
      </c>
      <c r="BK631" t="s">
        <v>2763</v>
      </c>
      <c r="BL631" t="s">
        <v>5091</v>
      </c>
      <c r="BM631" t="s">
        <v>8511</v>
      </c>
      <c r="BN631" t="s">
        <v>74</v>
      </c>
      <c r="BO631" t="s">
        <v>74</v>
      </c>
      <c r="BP631" t="s">
        <v>74</v>
      </c>
      <c r="BQ631" t="s">
        <v>74</v>
      </c>
      <c r="BR631" t="s">
        <v>97</v>
      </c>
      <c r="BS631" t="s">
        <v>8570</v>
      </c>
      <c r="BT631" t="str">
        <f>HYPERLINK("https%3A%2F%2Fwww.webofscience.com%2Fwos%2Fwoscc%2Ffull-record%2FWOS:000089703600007","View Full Record in Web of Science")</f>
        <v>View Full Record in Web of Science</v>
      </c>
    </row>
    <row r="632" spans="1:72" x14ac:dyDescent="0.15">
      <c r="A632" t="s">
        <v>72</v>
      </c>
      <c r="B632" t="s">
        <v>8571</v>
      </c>
      <c r="C632" t="s">
        <v>74</v>
      </c>
      <c r="D632" t="s">
        <v>74</v>
      </c>
      <c r="E632" t="s">
        <v>74</v>
      </c>
      <c r="F632" t="s">
        <v>8571</v>
      </c>
      <c r="G632" t="s">
        <v>74</v>
      </c>
      <c r="H632" t="s">
        <v>74</v>
      </c>
      <c r="I632" t="s">
        <v>8572</v>
      </c>
      <c r="J632" t="s">
        <v>5085</v>
      </c>
      <c r="K632" t="s">
        <v>74</v>
      </c>
      <c r="L632" t="s">
        <v>74</v>
      </c>
      <c r="M632" t="s">
        <v>77</v>
      </c>
      <c r="N632" t="s">
        <v>576</v>
      </c>
      <c r="O632" t="s">
        <v>8518</v>
      </c>
      <c r="P632" t="s">
        <v>8519</v>
      </c>
      <c r="Q632" t="s">
        <v>8520</v>
      </c>
      <c r="R632" t="s">
        <v>74</v>
      </c>
      <c r="S632" t="s">
        <v>8521</v>
      </c>
      <c r="T632" t="s">
        <v>8573</v>
      </c>
      <c r="U632" t="s">
        <v>8574</v>
      </c>
      <c r="V632" t="s">
        <v>8575</v>
      </c>
      <c r="W632" t="s">
        <v>8576</v>
      </c>
      <c r="X632" t="s">
        <v>2421</v>
      </c>
      <c r="Y632" t="s">
        <v>8577</v>
      </c>
      <c r="Z632" t="s">
        <v>74</v>
      </c>
      <c r="AA632" t="s">
        <v>74</v>
      </c>
      <c r="AB632" t="s">
        <v>74</v>
      </c>
      <c r="AC632" t="s">
        <v>74</v>
      </c>
      <c r="AD632" t="s">
        <v>74</v>
      </c>
      <c r="AE632" t="s">
        <v>74</v>
      </c>
      <c r="AF632" t="s">
        <v>74</v>
      </c>
      <c r="AG632">
        <v>110</v>
      </c>
      <c r="AH632">
        <v>110</v>
      </c>
      <c r="AI632">
        <v>119</v>
      </c>
      <c r="AJ632">
        <v>0</v>
      </c>
      <c r="AK632">
        <v>28</v>
      </c>
      <c r="AL632" t="s">
        <v>108</v>
      </c>
      <c r="AM632" t="s">
        <v>160</v>
      </c>
      <c r="AN632" t="s">
        <v>965</v>
      </c>
      <c r="AO632" t="s">
        <v>5087</v>
      </c>
      <c r="AP632" t="s">
        <v>74</v>
      </c>
      <c r="AQ632" t="s">
        <v>74</v>
      </c>
      <c r="AR632" t="s">
        <v>5088</v>
      </c>
      <c r="AS632" t="s">
        <v>5089</v>
      </c>
      <c r="AT632" t="s">
        <v>8459</v>
      </c>
      <c r="AU632">
        <v>2000</v>
      </c>
      <c r="AV632">
        <v>12</v>
      </c>
      <c r="AW632">
        <v>3</v>
      </c>
      <c r="AX632" t="s">
        <v>74</v>
      </c>
      <c r="AY632" t="s">
        <v>74</v>
      </c>
      <c r="AZ632" t="s">
        <v>74</v>
      </c>
      <c r="BA632" t="s">
        <v>74</v>
      </c>
      <c r="BB632">
        <v>314</v>
      </c>
      <c r="BC632">
        <v>324</v>
      </c>
      <c r="BD632" t="s">
        <v>74</v>
      </c>
      <c r="BE632" t="s">
        <v>8578</v>
      </c>
      <c r="BF632" t="str">
        <f>HYPERLINK("http://dx.doi.org/10.1017/S0954102000000377","http://dx.doi.org/10.1017/S0954102000000377")</f>
        <v>http://dx.doi.org/10.1017/S0954102000000377</v>
      </c>
      <c r="BG632" t="s">
        <v>74</v>
      </c>
      <c r="BH632" t="s">
        <v>74</v>
      </c>
      <c r="BI632">
        <v>11</v>
      </c>
      <c r="BJ632" t="s">
        <v>5090</v>
      </c>
      <c r="BK632" t="s">
        <v>2763</v>
      </c>
      <c r="BL632" t="s">
        <v>5091</v>
      </c>
      <c r="BM632" t="s">
        <v>8511</v>
      </c>
      <c r="BN632" t="s">
        <v>74</v>
      </c>
      <c r="BO632" t="s">
        <v>74</v>
      </c>
      <c r="BP632" t="s">
        <v>74</v>
      </c>
      <c r="BQ632" t="s">
        <v>74</v>
      </c>
      <c r="BR632" t="s">
        <v>97</v>
      </c>
      <c r="BS632" t="s">
        <v>8579</v>
      </c>
      <c r="BT632" t="str">
        <f>HYPERLINK("https%3A%2F%2Fwww.webofscience.com%2Fwos%2Fwoscc%2Ffull-record%2FWOS:000089703600008","View Full Record in Web of Science")</f>
        <v>View Full Record in Web of Science</v>
      </c>
    </row>
    <row r="633" spans="1:72" x14ac:dyDescent="0.15">
      <c r="A633" t="s">
        <v>72</v>
      </c>
      <c r="B633" t="s">
        <v>8580</v>
      </c>
      <c r="C633" t="s">
        <v>74</v>
      </c>
      <c r="D633" t="s">
        <v>74</v>
      </c>
      <c r="E633" t="s">
        <v>74</v>
      </c>
      <c r="F633" t="s">
        <v>8580</v>
      </c>
      <c r="G633" t="s">
        <v>74</v>
      </c>
      <c r="H633" t="s">
        <v>74</v>
      </c>
      <c r="I633" t="s">
        <v>8581</v>
      </c>
      <c r="J633" t="s">
        <v>5085</v>
      </c>
      <c r="K633" t="s">
        <v>74</v>
      </c>
      <c r="L633" t="s">
        <v>74</v>
      </c>
      <c r="M633" t="s">
        <v>77</v>
      </c>
      <c r="N633" t="s">
        <v>576</v>
      </c>
      <c r="O633" t="s">
        <v>8518</v>
      </c>
      <c r="P633" t="s">
        <v>8519</v>
      </c>
      <c r="Q633" t="s">
        <v>8520</v>
      </c>
      <c r="R633" t="s">
        <v>74</v>
      </c>
      <c r="S633" t="s">
        <v>8521</v>
      </c>
      <c r="T633" t="s">
        <v>8582</v>
      </c>
      <c r="U633" t="s">
        <v>8583</v>
      </c>
      <c r="V633" t="s">
        <v>8584</v>
      </c>
      <c r="W633" t="s">
        <v>3175</v>
      </c>
      <c r="X633" t="s">
        <v>1250</v>
      </c>
      <c r="Y633" t="s">
        <v>3176</v>
      </c>
      <c r="Z633" t="s">
        <v>74</v>
      </c>
      <c r="AA633" t="s">
        <v>8585</v>
      </c>
      <c r="AB633" t="s">
        <v>8586</v>
      </c>
      <c r="AC633" t="s">
        <v>74</v>
      </c>
      <c r="AD633" t="s">
        <v>74</v>
      </c>
      <c r="AE633" t="s">
        <v>74</v>
      </c>
      <c r="AF633" t="s">
        <v>74</v>
      </c>
      <c r="AG633">
        <v>66</v>
      </c>
      <c r="AH633">
        <v>49</v>
      </c>
      <c r="AI633">
        <v>55</v>
      </c>
      <c r="AJ633">
        <v>0</v>
      </c>
      <c r="AK633">
        <v>19</v>
      </c>
      <c r="AL633" t="s">
        <v>108</v>
      </c>
      <c r="AM633" t="s">
        <v>160</v>
      </c>
      <c r="AN633" t="s">
        <v>965</v>
      </c>
      <c r="AO633" t="s">
        <v>5087</v>
      </c>
      <c r="AP633" t="s">
        <v>5108</v>
      </c>
      <c r="AQ633" t="s">
        <v>74</v>
      </c>
      <c r="AR633" t="s">
        <v>5088</v>
      </c>
      <c r="AS633" t="s">
        <v>5089</v>
      </c>
      <c r="AT633" t="s">
        <v>8459</v>
      </c>
      <c r="AU633">
        <v>2000</v>
      </c>
      <c r="AV633">
        <v>12</v>
      </c>
      <c r="AW633">
        <v>3</v>
      </c>
      <c r="AX633" t="s">
        <v>74</v>
      </c>
      <c r="AY633" t="s">
        <v>74</v>
      </c>
      <c r="AZ633" t="s">
        <v>74</v>
      </c>
      <c r="BA633" t="s">
        <v>74</v>
      </c>
      <c r="BB633">
        <v>325</v>
      </c>
      <c r="BC633">
        <v>333</v>
      </c>
      <c r="BD633" t="s">
        <v>74</v>
      </c>
      <c r="BE633" t="s">
        <v>8587</v>
      </c>
      <c r="BF633" t="str">
        <f>HYPERLINK("http://dx.doi.org/10.1017/S0954102000000389","http://dx.doi.org/10.1017/S0954102000000389")</f>
        <v>http://dx.doi.org/10.1017/S0954102000000389</v>
      </c>
      <c r="BG633" t="s">
        <v>74</v>
      </c>
      <c r="BH633" t="s">
        <v>74</v>
      </c>
      <c r="BI633">
        <v>9</v>
      </c>
      <c r="BJ633" t="s">
        <v>5090</v>
      </c>
      <c r="BK633" t="s">
        <v>2763</v>
      </c>
      <c r="BL633" t="s">
        <v>5091</v>
      </c>
      <c r="BM633" t="s">
        <v>8511</v>
      </c>
      <c r="BN633" t="s">
        <v>74</v>
      </c>
      <c r="BO633" t="s">
        <v>74</v>
      </c>
      <c r="BP633" t="s">
        <v>74</v>
      </c>
      <c r="BQ633" t="s">
        <v>74</v>
      </c>
      <c r="BR633" t="s">
        <v>97</v>
      </c>
      <c r="BS633" t="s">
        <v>8588</v>
      </c>
      <c r="BT633" t="str">
        <f>HYPERLINK("https%3A%2F%2Fwww.webofscience.com%2Fwos%2Fwoscc%2Ffull-record%2FWOS:000089703600009","View Full Record in Web of Science")</f>
        <v>View Full Record in Web of Science</v>
      </c>
    </row>
    <row r="634" spans="1:72" x14ac:dyDescent="0.15">
      <c r="A634" t="s">
        <v>72</v>
      </c>
      <c r="B634" t="s">
        <v>8589</v>
      </c>
      <c r="C634" t="s">
        <v>74</v>
      </c>
      <c r="D634" t="s">
        <v>74</v>
      </c>
      <c r="E634" t="s">
        <v>74</v>
      </c>
      <c r="F634" t="s">
        <v>8589</v>
      </c>
      <c r="G634" t="s">
        <v>74</v>
      </c>
      <c r="H634" t="s">
        <v>74</v>
      </c>
      <c r="I634" t="s">
        <v>8590</v>
      </c>
      <c r="J634" t="s">
        <v>5085</v>
      </c>
      <c r="K634" t="s">
        <v>74</v>
      </c>
      <c r="L634" t="s">
        <v>74</v>
      </c>
      <c r="M634" t="s">
        <v>77</v>
      </c>
      <c r="N634" t="s">
        <v>576</v>
      </c>
      <c r="O634" t="s">
        <v>8518</v>
      </c>
      <c r="P634" t="s">
        <v>8519</v>
      </c>
      <c r="Q634" t="s">
        <v>8520</v>
      </c>
      <c r="R634" t="s">
        <v>74</v>
      </c>
      <c r="S634" t="s">
        <v>8521</v>
      </c>
      <c r="T634" t="s">
        <v>8591</v>
      </c>
      <c r="U634" t="s">
        <v>8592</v>
      </c>
      <c r="V634" t="s">
        <v>8593</v>
      </c>
      <c r="W634" t="s">
        <v>8594</v>
      </c>
      <c r="X634" t="s">
        <v>8595</v>
      </c>
      <c r="Y634" t="s">
        <v>8596</v>
      </c>
      <c r="Z634" t="s">
        <v>74</v>
      </c>
      <c r="AA634" t="s">
        <v>74</v>
      </c>
      <c r="AB634" t="s">
        <v>74</v>
      </c>
      <c r="AC634" t="s">
        <v>74</v>
      </c>
      <c r="AD634" t="s">
        <v>74</v>
      </c>
      <c r="AE634" t="s">
        <v>74</v>
      </c>
      <c r="AF634" t="s">
        <v>74</v>
      </c>
      <c r="AG634">
        <v>46</v>
      </c>
      <c r="AH634">
        <v>18</v>
      </c>
      <c r="AI634">
        <v>18</v>
      </c>
      <c r="AJ634">
        <v>2</v>
      </c>
      <c r="AK634">
        <v>10</v>
      </c>
      <c r="AL634" t="s">
        <v>108</v>
      </c>
      <c r="AM634" t="s">
        <v>160</v>
      </c>
      <c r="AN634" t="s">
        <v>5086</v>
      </c>
      <c r="AO634" t="s">
        <v>5087</v>
      </c>
      <c r="AP634" t="s">
        <v>74</v>
      </c>
      <c r="AQ634" t="s">
        <v>74</v>
      </c>
      <c r="AR634" t="s">
        <v>5088</v>
      </c>
      <c r="AS634" t="s">
        <v>5089</v>
      </c>
      <c r="AT634" t="s">
        <v>8459</v>
      </c>
      <c r="AU634">
        <v>2000</v>
      </c>
      <c r="AV634">
        <v>12</v>
      </c>
      <c r="AW634">
        <v>3</v>
      </c>
      <c r="AX634" t="s">
        <v>74</v>
      </c>
      <c r="AY634" t="s">
        <v>74</v>
      </c>
      <c r="AZ634" t="s">
        <v>74</v>
      </c>
      <c r="BA634" t="s">
        <v>74</v>
      </c>
      <c r="BB634">
        <v>334</v>
      </c>
      <c r="BC634">
        <v>342</v>
      </c>
      <c r="BD634" t="s">
        <v>74</v>
      </c>
      <c r="BE634" t="s">
        <v>8597</v>
      </c>
      <c r="BF634" t="str">
        <f>HYPERLINK("http://dx.doi.org/10.1017/S0954102000000390","http://dx.doi.org/10.1017/S0954102000000390")</f>
        <v>http://dx.doi.org/10.1017/S0954102000000390</v>
      </c>
      <c r="BG634" t="s">
        <v>74</v>
      </c>
      <c r="BH634" t="s">
        <v>74</v>
      </c>
      <c r="BI634">
        <v>9</v>
      </c>
      <c r="BJ634" t="s">
        <v>5090</v>
      </c>
      <c r="BK634" t="s">
        <v>596</v>
      </c>
      <c r="BL634" t="s">
        <v>5091</v>
      </c>
      <c r="BM634" t="s">
        <v>8511</v>
      </c>
      <c r="BN634" t="s">
        <v>74</v>
      </c>
      <c r="BO634" t="s">
        <v>74</v>
      </c>
      <c r="BP634" t="s">
        <v>74</v>
      </c>
      <c r="BQ634" t="s">
        <v>74</v>
      </c>
      <c r="BR634" t="s">
        <v>97</v>
      </c>
      <c r="BS634" t="s">
        <v>8598</v>
      </c>
      <c r="BT634" t="str">
        <f>HYPERLINK("https%3A%2F%2Fwww.webofscience.com%2Fwos%2Fwoscc%2Ffull-record%2FWOS:000089703600010","View Full Record in Web of Science")</f>
        <v>View Full Record in Web of Science</v>
      </c>
    </row>
    <row r="635" spans="1:72" x14ac:dyDescent="0.15">
      <c r="A635" t="s">
        <v>72</v>
      </c>
      <c r="B635" t="s">
        <v>8599</v>
      </c>
      <c r="C635" t="s">
        <v>74</v>
      </c>
      <c r="D635" t="s">
        <v>74</v>
      </c>
      <c r="E635" t="s">
        <v>74</v>
      </c>
      <c r="F635" t="s">
        <v>8599</v>
      </c>
      <c r="G635" t="s">
        <v>74</v>
      </c>
      <c r="H635" t="s">
        <v>74</v>
      </c>
      <c r="I635" t="s">
        <v>8600</v>
      </c>
      <c r="J635" t="s">
        <v>5085</v>
      </c>
      <c r="K635" t="s">
        <v>74</v>
      </c>
      <c r="L635" t="s">
        <v>74</v>
      </c>
      <c r="M635" t="s">
        <v>77</v>
      </c>
      <c r="N635" t="s">
        <v>576</v>
      </c>
      <c r="O635" t="s">
        <v>8518</v>
      </c>
      <c r="P635" t="s">
        <v>8519</v>
      </c>
      <c r="Q635" t="s">
        <v>8520</v>
      </c>
      <c r="R635" t="s">
        <v>74</v>
      </c>
      <c r="S635" t="s">
        <v>8521</v>
      </c>
      <c r="T635" t="s">
        <v>8601</v>
      </c>
      <c r="U635" t="s">
        <v>8602</v>
      </c>
      <c r="V635" t="s">
        <v>8603</v>
      </c>
      <c r="W635" t="s">
        <v>8604</v>
      </c>
      <c r="X635" t="s">
        <v>8605</v>
      </c>
      <c r="Y635" t="s">
        <v>8606</v>
      </c>
      <c r="Z635" t="s">
        <v>74</v>
      </c>
      <c r="AA635" t="s">
        <v>74</v>
      </c>
      <c r="AB635" t="s">
        <v>74</v>
      </c>
      <c r="AC635" t="s">
        <v>74</v>
      </c>
      <c r="AD635" t="s">
        <v>74</v>
      </c>
      <c r="AE635" t="s">
        <v>74</v>
      </c>
      <c r="AF635" t="s">
        <v>74</v>
      </c>
      <c r="AG635">
        <v>136</v>
      </c>
      <c r="AH635">
        <v>29</v>
      </c>
      <c r="AI635">
        <v>35</v>
      </c>
      <c r="AJ635">
        <v>0</v>
      </c>
      <c r="AK635">
        <v>10</v>
      </c>
      <c r="AL635" t="s">
        <v>108</v>
      </c>
      <c r="AM635" t="s">
        <v>160</v>
      </c>
      <c r="AN635" t="s">
        <v>965</v>
      </c>
      <c r="AO635" t="s">
        <v>5087</v>
      </c>
      <c r="AP635" t="s">
        <v>5108</v>
      </c>
      <c r="AQ635" t="s">
        <v>74</v>
      </c>
      <c r="AR635" t="s">
        <v>5088</v>
      </c>
      <c r="AS635" t="s">
        <v>5089</v>
      </c>
      <c r="AT635" t="s">
        <v>8459</v>
      </c>
      <c r="AU635">
        <v>2000</v>
      </c>
      <c r="AV635">
        <v>12</v>
      </c>
      <c r="AW635">
        <v>3</v>
      </c>
      <c r="AX635" t="s">
        <v>74</v>
      </c>
      <c r="AY635" t="s">
        <v>74</v>
      </c>
      <c r="AZ635" t="s">
        <v>74</v>
      </c>
      <c r="BA635" t="s">
        <v>74</v>
      </c>
      <c r="BB635">
        <v>343</v>
      </c>
      <c r="BC635">
        <v>362</v>
      </c>
      <c r="BD635" t="s">
        <v>74</v>
      </c>
      <c r="BE635" t="s">
        <v>8607</v>
      </c>
      <c r="BF635" t="str">
        <f>HYPERLINK("http://dx.doi.org/10.1017/S0954102000000407","http://dx.doi.org/10.1017/S0954102000000407")</f>
        <v>http://dx.doi.org/10.1017/S0954102000000407</v>
      </c>
      <c r="BG635" t="s">
        <v>74</v>
      </c>
      <c r="BH635" t="s">
        <v>74</v>
      </c>
      <c r="BI635">
        <v>20</v>
      </c>
      <c r="BJ635" t="s">
        <v>5090</v>
      </c>
      <c r="BK635" t="s">
        <v>2763</v>
      </c>
      <c r="BL635" t="s">
        <v>5091</v>
      </c>
      <c r="BM635" t="s">
        <v>8511</v>
      </c>
      <c r="BN635" t="s">
        <v>74</v>
      </c>
      <c r="BO635" t="s">
        <v>74</v>
      </c>
      <c r="BP635" t="s">
        <v>74</v>
      </c>
      <c r="BQ635" t="s">
        <v>74</v>
      </c>
      <c r="BR635" t="s">
        <v>97</v>
      </c>
      <c r="BS635" t="s">
        <v>8608</v>
      </c>
      <c r="BT635" t="str">
        <f>HYPERLINK("https%3A%2F%2Fwww.webofscience.com%2Fwos%2Fwoscc%2Ffull-record%2FWOS:000089703600011","View Full Record in Web of Science")</f>
        <v>View Full Record in Web of Science</v>
      </c>
    </row>
    <row r="636" spans="1:72" x14ac:dyDescent="0.15">
      <c r="A636" t="s">
        <v>72</v>
      </c>
      <c r="B636" t="s">
        <v>8609</v>
      </c>
      <c r="C636" t="s">
        <v>74</v>
      </c>
      <c r="D636" t="s">
        <v>74</v>
      </c>
      <c r="E636" t="s">
        <v>74</v>
      </c>
      <c r="F636" t="s">
        <v>8609</v>
      </c>
      <c r="G636" t="s">
        <v>74</v>
      </c>
      <c r="H636" t="s">
        <v>74</v>
      </c>
      <c r="I636" t="s">
        <v>8610</v>
      </c>
      <c r="J636" t="s">
        <v>5085</v>
      </c>
      <c r="K636" t="s">
        <v>74</v>
      </c>
      <c r="L636" t="s">
        <v>74</v>
      </c>
      <c r="M636" t="s">
        <v>77</v>
      </c>
      <c r="N636" t="s">
        <v>576</v>
      </c>
      <c r="O636" t="s">
        <v>8518</v>
      </c>
      <c r="P636" t="s">
        <v>8519</v>
      </c>
      <c r="Q636" t="s">
        <v>8520</v>
      </c>
      <c r="R636" t="s">
        <v>74</v>
      </c>
      <c r="S636" t="s">
        <v>8521</v>
      </c>
      <c r="T636" t="s">
        <v>8611</v>
      </c>
      <c r="U636" t="s">
        <v>8612</v>
      </c>
      <c r="V636" t="s">
        <v>8613</v>
      </c>
      <c r="W636" t="s">
        <v>8614</v>
      </c>
      <c r="X636" t="s">
        <v>8615</v>
      </c>
      <c r="Y636" t="s">
        <v>8616</v>
      </c>
      <c r="Z636" t="s">
        <v>8617</v>
      </c>
      <c r="AA636" t="s">
        <v>74</v>
      </c>
      <c r="AB636" t="s">
        <v>74</v>
      </c>
      <c r="AC636" t="s">
        <v>74</v>
      </c>
      <c r="AD636" t="s">
        <v>74</v>
      </c>
      <c r="AE636" t="s">
        <v>74</v>
      </c>
      <c r="AF636" t="s">
        <v>74</v>
      </c>
      <c r="AG636">
        <v>63</v>
      </c>
      <c r="AH636">
        <v>41</v>
      </c>
      <c r="AI636">
        <v>48</v>
      </c>
      <c r="AJ636">
        <v>0</v>
      </c>
      <c r="AK636">
        <v>10</v>
      </c>
      <c r="AL636" t="s">
        <v>108</v>
      </c>
      <c r="AM636" t="s">
        <v>160</v>
      </c>
      <c r="AN636" t="s">
        <v>965</v>
      </c>
      <c r="AO636" t="s">
        <v>5087</v>
      </c>
      <c r="AP636" t="s">
        <v>5108</v>
      </c>
      <c r="AQ636" t="s">
        <v>74</v>
      </c>
      <c r="AR636" t="s">
        <v>5088</v>
      </c>
      <c r="AS636" t="s">
        <v>5089</v>
      </c>
      <c r="AT636" t="s">
        <v>8459</v>
      </c>
      <c r="AU636">
        <v>2000</v>
      </c>
      <c r="AV636">
        <v>12</v>
      </c>
      <c r="AW636">
        <v>3</v>
      </c>
      <c r="AX636" t="s">
        <v>74</v>
      </c>
      <c r="AY636" t="s">
        <v>74</v>
      </c>
      <c r="AZ636" t="s">
        <v>74</v>
      </c>
      <c r="BA636" t="s">
        <v>74</v>
      </c>
      <c r="BB636">
        <v>363</v>
      </c>
      <c r="BC636">
        <v>373</v>
      </c>
      <c r="BD636" t="s">
        <v>74</v>
      </c>
      <c r="BE636" t="s">
        <v>8618</v>
      </c>
      <c r="BF636" t="str">
        <f>HYPERLINK("http://dx.doi.org/10.1017/S0954102000000419","http://dx.doi.org/10.1017/S0954102000000419")</f>
        <v>http://dx.doi.org/10.1017/S0954102000000419</v>
      </c>
      <c r="BG636" t="s">
        <v>74</v>
      </c>
      <c r="BH636" t="s">
        <v>74</v>
      </c>
      <c r="BI636">
        <v>11</v>
      </c>
      <c r="BJ636" t="s">
        <v>5090</v>
      </c>
      <c r="BK636" t="s">
        <v>2763</v>
      </c>
      <c r="BL636" t="s">
        <v>5091</v>
      </c>
      <c r="BM636" t="s">
        <v>8511</v>
      </c>
      <c r="BN636" t="s">
        <v>74</v>
      </c>
      <c r="BO636" t="s">
        <v>74</v>
      </c>
      <c r="BP636" t="s">
        <v>74</v>
      </c>
      <c r="BQ636" t="s">
        <v>74</v>
      </c>
      <c r="BR636" t="s">
        <v>97</v>
      </c>
      <c r="BS636" t="s">
        <v>8619</v>
      </c>
      <c r="BT636" t="str">
        <f>HYPERLINK("https%3A%2F%2Fwww.webofscience.com%2Fwos%2Fwoscc%2Ffull-record%2FWOS:000089703600012","View Full Record in Web of Science")</f>
        <v>View Full Record in Web of Science</v>
      </c>
    </row>
    <row r="637" spans="1:72" x14ac:dyDescent="0.15">
      <c r="A637" t="s">
        <v>72</v>
      </c>
      <c r="B637" t="s">
        <v>8620</v>
      </c>
      <c r="C637" t="s">
        <v>74</v>
      </c>
      <c r="D637" t="s">
        <v>74</v>
      </c>
      <c r="E637" t="s">
        <v>74</v>
      </c>
      <c r="F637" t="s">
        <v>8620</v>
      </c>
      <c r="G637" t="s">
        <v>74</v>
      </c>
      <c r="H637" t="s">
        <v>74</v>
      </c>
      <c r="I637" t="s">
        <v>8621</v>
      </c>
      <c r="J637" t="s">
        <v>5085</v>
      </c>
      <c r="K637" t="s">
        <v>74</v>
      </c>
      <c r="L637" t="s">
        <v>74</v>
      </c>
      <c r="M637" t="s">
        <v>77</v>
      </c>
      <c r="N637" t="s">
        <v>576</v>
      </c>
      <c r="O637" t="s">
        <v>8518</v>
      </c>
      <c r="P637" t="s">
        <v>8519</v>
      </c>
      <c r="Q637" t="s">
        <v>8520</v>
      </c>
      <c r="R637" t="s">
        <v>74</v>
      </c>
      <c r="S637" t="s">
        <v>8521</v>
      </c>
      <c r="T637" t="s">
        <v>8622</v>
      </c>
      <c r="U637" t="s">
        <v>8623</v>
      </c>
      <c r="V637" t="s">
        <v>8624</v>
      </c>
      <c r="W637" t="s">
        <v>8625</v>
      </c>
      <c r="X637" t="s">
        <v>8626</v>
      </c>
      <c r="Y637" t="s">
        <v>8627</v>
      </c>
      <c r="Z637" t="s">
        <v>74</v>
      </c>
      <c r="AA637" t="s">
        <v>8628</v>
      </c>
      <c r="AB637" t="s">
        <v>8629</v>
      </c>
      <c r="AC637" t="s">
        <v>74</v>
      </c>
      <c r="AD637" t="s">
        <v>74</v>
      </c>
      <c r="AE637" t="s">
        <v>74</v>
      </c>
      <c r="AF637" t="s">
        <v>74</v>
      </c>
      <c r="AG637">
        <v>78</v>
      </c>
      <c r="AH637">
        <v>167</v>
      </c>
      <c r="AI637">
        <v>196</v>
      </c>
      <c r="AJ637">
        <v>0</v>
      </c>
      <c r="AK637">
        <v>56</v>
      </c>
      <c r="AL637" t="s">
        <v>108</v>
      </c>
      <c r="AM637" t="s">
        <v>160</v>
      </c>
      <c r="AN637" t="s">
        <v>965</v>
      </c>
      <c r="AO637" t="s">
        <v>5087</v>
      </c>
      <c r="AP637" t="s">
        <v>5108</v>
      </c>
      <c r="AQ637" t="s">
        <v>74</v>
      </c>
      <c r="AR637" t="s">
        <v>5088</v>
      </c>
      <c r="AS637" t="s">
        <v>5089</v>
      </c>
      <c r="AT637" t="s">
        <v>8459</v>
      </c>
      <c r="AU637">
        <v>2000</v>
      </c>
      <c r="AV637">
        <v>12</v>
      </c>
      <c r="AW637">
        <v>3</v>
      </c>
      <c r="AX637" t="s">
        <v>74</v>
      </c>
      <c r="AY637" t="s">
        <v>74</v>
      </c>
      <c r="AZ637" t="s">
        <v>74</v>
      </c>
      <c r="BA637" t="s">
        <v>74</v>
      </c>
      <c r="BB637">
        <v>374</v>
      </c>
      <c r="BC637">
        <v>385</v>
      </c>
      <c r="BD637" t="s">
        <v>74</v>
      </c>
      <c r="BE637" t="s">
        <v>8630</v>
      </c>
      <c r="BF637" t="str">
        <f>HYPERLINK("http://dx.doi.org/10.1017/S0954102000000420","http://dx.doi.org/10.1017/S0954102000000420")</f>
        <v>http://dx.doi.org/10.1017/S0954102000000420</v>
      </c>
      <c r="BG637" t="s">
        <v>74</v>
      </c>
      <c r="BH637" t="s">
        <v>74</v>
      </c>
      <c r="BI637">
        <v>12</v>
      </c>
      <c r="BJ637" t="s">
        <v>5090</v>
      </c>
      <c r="BK637" t="s">
        <v>2763</v>
      </c>
      <c r="BL637" t="s">
        <v>5091</v>
      </c>
      <c r="BM637" t="s">
        <v>8511</v>
      </c>
      <c r="BN637" t="s">
        <v>74</v>
      </c>
      <c r="BO637" t="s">
        <v>296</v>
      </c>
      <c r="BP637" t="s">
        <v>74</v>
      </c>
      <c r="BQ637" t="s">
        <v>74</v>
      </c>
      <c r="BR637" t="s">
        <v>97</v>
      </c>
      <c r="BS637" t="s">
        <v>8631</v>
      </c>
      <c r="BT637" t="str">
        <f>HYPERLINK("https%3A%2F%2Fwww.webofscience.com%2Fwos%2Fwoscc%2Ffull-record%2FWOS:000089703600013","View Full Record in Web of Science")</f>
        <v>View Full Record in Web of Science</v>
      </c>
    </row>
    <row r="638" spans="1:72" x14ac:dyDescent="0.15">
      <c r="A638" t="s">
        <v>72</v>
      </c>
      <c r="B638" t="s">
        <v>8632</v>
      </c>
      <c r="C638" t="s">
        <v>74</v>
      </c>
      <c r="D638" t="s">
        <v>74</v>
      </c>
      <c r="E638" t="s">
        <v>74</v>
      </c>
      <c r="F638" t="s">
        <v>8632</v>
      </c>
      <c r="G638" t="s">
        <v>74</v>
      </c>
      <c r="H638" t="s">
        <v>74</v>
      </c>
      <c r="I638" t="s">
        <v>8633</v>
      </c>
      <c r="J638" t="s">
        <v>5085</v>
      </c>
      <c r="K638" t="s">
        <v>74</v>
      </c>
      <c r="L638" t="s">
        <v>74</v>
      </c>
      <c r="M638" t="s">
        <v>77</v>
      </c>
      <c r="N638" t="s">
        <v>576</v>
      </c>
      <c r="O638" t="s">
        <v>8518</v>
      </c>
      <c r="P638" t="s">
        <v>8519</v>
      </c>
      <c r="Q638" t="s">
        <v>8520</v>
      </c>
      <c r="R638" t="s">
        <v>74</v>
      </c>
      <c r="S638" t="s">
        <v>8521</v>
      </c>
      <c r="T638" t="s">
        <v>8634</v>
      </c>
      <c r="U638" t="s">
        <v>8635</v>
      </c>
      <c r="V638" t="s">
        <v>8636</v>
      </c>
      <c r="W638" t="s">
        <v>8637</v>
      </c>
      <c r="X638" t="s">
        <v>8638</v>
      </c>
      <c r="Y638" t="s">
        <v>8639</v>
      </c>
      <c r="Z638" t="s">
        <v>8640</v>
      </c>
      <c r="AA638" t="s">
        <v>8641</v>
      </c>
      <c r="AB638" t="s">
        <v>74</v>
      </c>
      <c r="AC638" t="s">
        <v>74</v>
      </c>
      <c r="AD638" t="s">
        <v>74</v>
      </c>
      <c r="AE638" t="s">
        <v>74</v>
      </c>
      <c r="AF638" t="s">
        <v>74</v>
      </c>
      <c r="AG638">
        <v>17</v>
      </c>
      <c r="AH638">
        <v>30</v>
      </c>
      <c r="AI638">
        <v>30</v>
      </c>
      <c r="AJ638">
        <v>0</v>
      </c>
      <c r="AK638">
        <v>7</v>
      </c>
      <c r="AL638" t="s">
        <v>108</v>
      </c>
      <c r="AM638" t="s">
        <v>160</v>
      </c>
      <c r="AN638" t="s">
        <v>965</v>
      </c>
      <c r="AO638" t="s">
        <v>5087</v>
      </c>
      <c r="AP638" t="s">
        <v>5108</v>
      </c>
      <c r="AQ638" t="s">
        <v>74</v>
      </c>
      <c r="AR638" t="s">
        <v>5088</v>
      </c>
      <c r="AS638" t="s">
        <v>5089</v>
      </c>
      <c r="AT638" t="s">
        <v>8459</v>
      </c>
      <c r="AU638">
        <v>2000</v>
      </c>
      <c r="AV638">
        <v>12</v>
      </c>
      <c r="AW638">
        <v>3</v>
      </c>
      <c r="AX638" t="s">
        <v>74</v>
      </c>
      <c r="AY638" t="s">
        <v>74</v>
      </c>
      <c r="AZ638" t="s">
        <v>74</v>
      </c>
      <c r="BA638" t="s">
        <v>74</v>
      </c>
      <c r="BB638">
        <v>386</v>
      </c>
      <c r="BC638">
        <v>393</v>
      </c>
      <c r="BD638" t="s">
        <v>74</v>
      </c>
      <c r="BE638" t="s">
        <v>8642</v>
      </c>
      <c r="BF638" t="str">
        <f>HYPERLINK("http://dx.doi.org/10.1017/S0954102000000432","http://dx.doi.org/10.1017/S0954102000000432")</f>
        <v>http://dx.doi.org/10.1017/S0954102000000432</v>
      </c>
      <c r="BG638" t="s">
        <v>74</v>
      </c>
      <c r="BH638" t="s">
        <v>74</v>
      </c>
      <c r="BI638">
        <v>8</v>
      </c>
      <c r="BJ638" t="s">
        <v>5090</v>
      </c>
      <c r="BK638" t="s">
        <v>2763</v>
      </c>
      <c r="BL638" t="s">
        <v>5091</v>
      </c>
      <c r="BM638" t="s">
        <v>8511</v>
      </c>
      <c r="BN638" t="s">
        <v>74</v>
      </c>
      <c r="BO638" t="s">
        <v>6776</v>
      </c>
      <c r="BP638" t="s">
        <v>74</v>
      </c>
      <c r="BQ638" t="s">
        <v>74</v>
      </c>
      <c r="BR638" t="s">
        <v>97</v>
      </c>
      <c r="BS638" t="s">
        <v>8643</v>
      </c>
      <c r="BT638" t="str">
        <f>HYPERLINK("https%3A%2F%2Fwww.webofscience.com%2Fwos%2Fwoscc%2Ffull-record%2FWOS:000089703600014","View Full Record in Web of Science")</f>
        <v>View Full Record in Web of Science</v>
      </c>
    </row>
    <row r="639" spans="1:72" x14ac:dyDescent="0.15">
      <c r="A639" t="s">
        <v>72</v>
      </c>
      <c r="B639" t="s">
        <v>8644</v>
      </c>
      <c r="C639" t="s">
        <v>74</v>
      </c>
      <c r="D639" t="s">
        <v>74</v>
      </c>
      <c r="E639" t="s">
        <v>74</v>
      </c>
      <c r="F639" t="s">
        <v>8644</v>
      </c>
      <c r="G639" t="s">
        <v>74</v>
      </c>
      <c r="H639" t="s">
        <v>74</v>
      </c>
      <c r="I639" t="s">
        <v>8645</v>
      </c>
      <c r="J639" t="s">
        <v>8646</v>
      </c>
      <c r="K639" t="s">
        <v>74</v>
      </c>
      <c r="L639" t="s">
        <v>74</v>
      </c>
      <c r="M639" t="s">
        <v>77</v>
      </c>
      <c r="N639" t="s">
        <v>78</v>
      </c>
      <c r="O639" t="s">
        <v>74</v>
      </c>
      <c r="P639" t="s">
        <v>74</v>
      </c>
      <c r="Q639" t="s">
        <v>74</v>
      </c>
      <c r="R639" t="s">
        <v>74</v>
      </c>
      <c r="S639" t="s">
        <v>74</v>
      </c>
      <c r="T639" t="s">
        <v>74</v>
      </c>
      <c r="U639" t="s">
        <v>74</v>
      </c>
      <c r="V639" t="s">
        <v>8647</v>
      </c>
      <c r="W639" t="s">
        <v>8648</v>
      </c>
      <c r="X639" t="s">
        <v>327</v>
      </c>
      <c r="Y639" t="s">
        <v>8649</v>
      </c>
      <c r="Z639" t="s">
        <v>74</v>
      </c>
      <c r="AA639" t="s">
        <v>8650</v>
      </c>
      <c r="AB639" t="s">
        <v>8651</v>
      </c>
      <c r="AC639" t="s">
        <v>74</v>
      </c>
      <c r="AD639" t="s">
        <v>74</v>
      </c>
      <c r="AE639" t="s">
        <v>74</v>
      </c>
      <c r="AF639" t="s">
        <v>74</v>
      </c>
      <c r="AG639">
        <v>46</v>
      </c>
      <c r="AH639">
        <v>2</v>
      </c>
      <c r="AI639">
        <v>2</v>
      </c>
      <c r="AJ639">
        <v>0</v>
      </c>
      <c r="AK639">
        <v>2</v>
      </c>
      <c r="AL639" t="s">
        <v>8652</v>
      </c>
      <c r="AM639" t="s">
        <v>246</v>
      </c>
      <c r="AN639" t="s">
        <v>8653</v>
      </c>
      <c r="AO639" t="s">
        <v>8654</v>
      </c>
      <c r="AP639" t="s">
        <v>74</v>
      </c>
      <c r="AQ639" t="s">
        <v>74</v>
      </c>
      <c r="AR639" t="s">
        <v>8655</v>
      </c>
      <c r="AS639" t="s">
        <v>8656</v>
      </c>
      <c r="AT639" t="s">
        <v>8459</v>
      </c>
      <c r="AU639">
        <v>2000</v>
      </c>
      <c r="AV639">
        <v>59</v>
      </c>
      <c r="AW639">
        <v>3</v>
      </c>
      <c r="AX639" t="s">
        <v>74</v>
      </c>
      <c r="AY639" t="s">
        <v>74</v>
      </c>
      <c r="AZ639" t="s">
        <v>74</v>
      </c>
      <c r="BA639" t="s">
        <v>74</v>
      </c>
      <c r="BB639">
        <v>34</v>
      </c>
      <c r="BC639">
        <v>48</v>
      </c>
      <c r="BD639" t="s">
        <v>74</v>
      </c>
      <c r="BE639" t="s">
        <v>8657</v>
      </c>
      <c r="BF639" t="str">
        <f>HYPERLINK("http://dx.doi.org/10.1111/1467-8500.00165","http://dx.doi.org/10.1111/1467-8500.00165")</f>
        <v>http://dx.doi.org/10.1111/1467-8500.00165</v>
      </c>
      <c r="BG639" t="s">
        <v>74</v>
      </c>
      <c r="BH639" t="s">
        <v>74</v>
      </c>
      <c r="BI639">
        <v>15</v>
      </c>
      <c r="BJ639" t="s">
        <v>8658</v>
      </c>
      <c r="BK639" t="s">
        <v>657</v>
      </c>
      <c r="BL639" t="s">
        <v>8658</v>
      </c>
      <c r="BM639" t="s">
        <v>8659</v>
      </c>
      <c r="BN639" t="s">
        <v>74</v>
      </c>
      <c r="BO639" t="s">
        <v>74</v>
      </c>
      <c r="BP639" t="s">
        <v>74</v>
      </c>
      <c r="BQ639" t="s">
        <v>74</v>
      </c>
      <c r="BR639" t="s">
        <v>97</v>
      </c>
      <c r="BS639" t="s">
        <v>8660</v>
      </c>
      <c r="BT639" t="str">
        <f>HYPERLINK("https%3A%2F%2Fwww.webofscience.com%2Fwos%2Fwoscc%2Ffull-record%2FWOS:000169490200004","View Full Record in Web of Science")</f>
        <v>View Full Record in Web of Science</v>
      </c>
    </row>
    <row r="640" spans="1:72" x14ac:dyDescent="0.15">
      <c r="A640" t="s">
        <v>72</v>
      </c>
      <c r="B640" t="s">
        <v>8661</v>
      </c>
      <c r="C640" t="s">
        <v>74</v>
      </c>
      <c r="D640" t="s">
        <v>74</v>
      </c>
      <c r="E640" t="s">
        <v>74</v>
      </c>
      <c r="F640" t="s">
        <v>8661</v>
      </c>
      <c r="G640" t="s">
        <v>74</v>
      </c>
      <c r="H640" t="s">
        <v>74</v>
      </c>
      <c r="I640" t="s">
        <v>8662</v>
      </c>
      <c r="J640" t="s">
        <v>8663</v>
      </c>
      <c r="K640" t="s">
        <v>74</v>
      </c>
      <c r="L640" t="s">
        <v>74</v>
      </c>
      <c r="M640" t="s">
        <v>77</v>
      </c>
      <c r="N640" t="s">
        <v>576</v>
      </c>
      <c r="O640" t="s">
        <v>8664</v>
      </c>
      <c r="P640" t="s">
        <v>8665</v>
      </c>
      <c r="Q640" t="s">
        <v>8666</v>
      </c>
      <c r="R640" t="s">
        <v>74</v>
      </c>
      <c r="S640" t="s">
        <v>74</v>
      </c>
      <c r="T640" t="s">
        <v>8667</v>
      </c>
      <c r="U640" t="s">
        <v>74</v>
      </c>
      <c r="V640" t="s">
        <v>8668</v>
      </c>
      <c r="W640" t="s">
        <v>8669</v>
      </c>
      <c r="X640" t="s">
        <v>8670</v>
      </c>
      <c r="Y640" t="s">
        <v>8671</v>
      </c>
      <c r="Z640" t="s">
        <v>74</v>
      </c>
      <c r="AA640" t="s">
        <v>74</v>
      </c>
      <c r="AB640" t="s">
        <v>74</v>
      </c>
      <c r="AC640" t="s">
        <v>74</v>
      </c>
      <c r="AD640" t="s">
        <v>74</v>
      </c>
      <c r="AE640" t="s">
        <v>74</v>
      </c>
      <c r="AF640" t="s">
        <v>74</v>
      </c>
      <c r="AG640">
        <v>18</v>
      </c>
      <c r="AH640">
        <v>3</v>
      </c>
      <c r="AI640">
        <v>3</v>
      </c>
      <c r="AJ640">
        <v>0</v>
      </c>
      <c r="AK640">
        <v>5</v>
      </c>
      <c r="AL640" t="s">
        <v>8672</v>
      </c>
      <c r="AM640" t="s">
        <v>5321</v>
      </c>
      <c r="AN640" t="s">
        <v>8673</v>
      </c>
      <c r="AO640" t="s">
        <v>8674</v>
      </c>
      <c r="AP640" t="s">
        <v>8675</v>
      </c>
      <c r="AQ640" t="s">
        <v>74</v>
      </c>
      <c r="AR640" t="s">
        <v>8676</v>
      </c>
      <c r="AS640" t="s">
        <v>8677</v>
      </c>
      <c r="AT640" t="s">
        <v>8459</v>
      </c>
      <c r="AU640">
        <v>2000</v>
      </c>
      <c r="AV640">
        <v>71</v>
      </c>
      <c r="AW640">
        <v>9</v>
      </c>
      <c r="AX640" t="s">
        <v>74</v>
      </c>
      <c r="AY640" t="s">
        <v>1106</v>
      </c>
      <c r="AZ640" t="s">
        <v>74</v>
      </c>
      <c r="BA640" t="s">
        <v>74</v>
      </c>
      <c r="BB640" t="s">
        <v>8678</v>
      </c>
      <c r="BC640" t="s">
        <v>8679</v>
      </c>
      <c r="BD640" t="s">
        <v>74</v>
      </c>
      <c r="BE640" t="s">
        <v>74</v>
      </c>
      <c r="BF640" t="s">
        <v>74</v>
      </c>
      <c r="BG640" t="s">
        <v>74</v>
      </c>
      <c r="BH640" t="s">
        <v>74</v>
      </c>
      <c r="BI640">
        <v>5</v>
      </c>
      <c r="BJ640" t="s">
        <v>8680</v>
      </c>
      <c r="BK640" t="s">
        <v>2763</v>
      </c>
      <c r="BL640" t="s">
        <v>8681</v>
      </c>
      <c r="BM640" t="s">
        <v>8682</v>
      </c>
      <c r="BN640">
        <v>10993324</v>
      </c>
      <c r="BO640" t="s">
        <v>74</v>
      </c>
      <c r="BP640" t="s">
        <v>74</v>
      </c>
      <c r="BQ640" t="s">
        <v>74</v>
      </c>
      <c r="BR640" t="s">
        <v>97</v>
      </c>
      <c r="BS640" t="s">
        <v>8683</v>
      </c>
      <c r="BT640" t="str">
        <f>HYPERLINK("https%3A%2F%2Fwww.webofscience.com%2Fwos%2Fwoscc%2Ffull-record%2FWOS:000089121400025","View Full Record in Web of Science")</f>
        <v>View Full Record in Web of Science</v>
      </c>
    </row>
    <row r="641" spans="1:72" x14ac:dyDescent="0.15">
      <c r="A641" t="s">
        <v>72</v>
      </c>
      <c r="B641" t="s">
        <v>8684</v>
      </c>
      <c r="C641" t="s">
        <v>74</v>
      </c>
      <c r="D641" t="s">
        <v>74</v>
      </c>
      <c r="E641" t="s">
        <v>74</v>
      </c>
      <c r="F641" t="s">
        <v>8684</v>
      </c>
      <c r="G641" t="s">
        <v>74</v>
      </c>
      <c r="H641" t="s">
        <v>74</v>
      </c>
      <c r="I641" t="s">
        <v>8685</v>
      </c>
      <c r="J641" t="s">
        <v>8663</v>
      </c>
      <c r="K641" t="s">
        <v>74</v>
      </c>
      <c r="L641" t="s">
        <v>74</v>
      </c>
      <c r="M641" t="s">
        <v>77</v>
      </c>
      <c r="N641" t="s">
        <v>576</v>
      </c>
      <c r="O641" t="s">
        <v>8664</v>
      </c>
      <c r="P641" t="s">
        <v>8665</v>
      </c>
      <c r="Q641" t="s">
        <v>8666</v>
      </c>
      <c r="R641" t="s">
        <v>74</v>
      </c>
      <c r="S641" t="s">
        <v>74</v>
      </c>
      <c r="T641" t="s">
        <v>8686</v>
      </c>
      <c r="U641" t="s">
        <v>8687</v>
      </c>
      <c r="V641" t="s">
        <v>8688</v>
      </c>
      <c r="W641" t="s">
        <v>8689</v>
      </c>
      <c r="X641" t="s">
        <v>8690</v>
      </c>
      <c r="Y641" t="s">
        <v>8691</v>
      </c>
      <c r="Z641" t="s">
        <v>74</v>
      </c>
      <c r="AA641" t="s">
        <v>74</v>
      </c>
      <c r="AB641" t="s">
        <v>8692</v>
      </c>
      <c r="AC641" t="s">
        <v>74</v>
      </c>
      <c r="AD641" t="s">
        <v>74</v>
      </c>
      <c r="AE641" t="s">
        <v>74</v>
      </c>
      <c r="AF641" t="s">
        <v>74</v>
      </c>
      <c r="AG641">
        <v>27</v>
      </c>
      <c r="AH641">
        <v>48</v>
      </c>
      <c r="AI641">
        <v>54</v>
      </c>
      <c r="AJ641">
        <v>0</v>
      </c>
      <c r="AK641">
        <v>10</v>
      </c>
      <c r="AL641" t="s">
        <v>8672</v>
      </c>
      <c r="AM641" t="s">
        <v>5321</v>
      </c>
      <c r="AN641" t="s">
        <v>8673</v>
      </c>
      <c r="AO641" t="s">
        <v>8674</v>
      </c>
      <c r="AP641" t="s">
        <v>74</v>
      </c>
      <c r="AQ641" t="s">
        <v>74</v>
      </c>
      <c r="AR641" t="s">
        <v>8676</v>
      </c>
      <c r="AS641" t="s">
        <v>8677</v>
      </c>
      <c r="AT641" t="s">
        <v>8459</v>
      </c>
      <c r="AU641">
        <v>2000</v>
      </c>
      <c r="AV641">
        <v>71</v>
      </c>
      <c r="AW641">
        <v>9</v>
      </c>
      <c r="AX641" t="s">
        <v>74</v>
      </c>
      <c r="AY641" t="s">
        <v>1106</v>
      </c>
      <c r="AZ641" t="s">
        <v>74</v>
      </c>
      <c r="BA641" t="s">
        <v>74</v>
      </c>
      <c r="BB641" t="s">
        <v>8693</v>
      </c>
      <c r="BC641" t="s">
        <v>8694</v>
      </c>
      <c r="BD641" t="s">
        <v>74</v>
      </c>
      <c r="BE641" t="s">
        <v>74</v>
      </c>
      <c r="BF641" t="s">
        <v>74</v>
      </c>
      <c r="BG641" t="s">
        <v>74</v>
      </c>
      <c r="BH641" t="s">
        <v>74</v>
      </c>
      <c r="BI641">
        <v>7</v>
      </c>
      <c r="BJ641" t="s">
        <v>8680</v>
      </c>
      <c r="BK641" t="s">
        <v>8695</v>
      </c>
      <c r="BL641" t="s">
        <v>8681</v>
      </c>
      <c r="BM641" t="s">
        <v>8682</v>
      </c>
      <c r="BN641">
        <v>10993307</v>
      </c>
      <c r="BO641" t="s">
        <v>74</v>
      </c>
      <c r="BP641" t="s">
        <v>74</v>
      </c>
      <c r="BQ641" t="s">
        <v>74</v>
      </c>
      <c r="BR641" t="s">
        <v>97</v>
      </c>
      <c r="BS641" t="s">
        <v>8696</v>
      </c>
      <c r="BT641" t="str">
        <f>HYPERLINK("https%3A%2F%2Fwww.webofscience.com%2Fwos%2Fwoscc%2Ffull-record%2FWOS:000089121400008","View Full Record in Web of Science")</f>
        <v>View Full Record in Web of Science</v>
      </c>
    </row>
    <row r="642" spans="1:72" x14ac:dyDescent="0.15">
      <c r="A642" t="s">
        <v>72</v>
      </c>
      <c r="B642" t="s">
        <v>8697</v>
      </c>
      <c r="C642" t="s">
        <v>74</v>
      </c>
      <c r="D642" t="s">
        <v>74</v>
      </c>
      <c r="E642" t="s">
        <v>74</v>
      </c>
      <c r="F642" t="s">
        <v>8697</v>
      </c>
      <c r="G642" t="s">
        <v>74</v>
      </c>
      <c r="H642" t="s">
        <v>74</v>
      </c>
      <c r="I642" t="s">
        <v>8698</v>
      </c>
      <c r="J642" t="s">
        <v>8663</v>
      </c>
      <c r="K642" t="s">
        <v>74</v>
      </c>
      <c r="L642" t="s">
        <v>74</v>
      </c>
      <c r="M642" t="s">
        <v>77</v>
      </c>
      <c r="N642" t="s">
        <v>576</v>
      </c>
      <c r="O642" t="s">
        <v>8664</v>
      </c>
      <c r="P642" t="s">
        <v>8665</v>
      </c>
      <c r="Q642" t="s">
        <v>8666</v>
      </c>
      <c r="R642" t="s">
        <v>74</v>
      </c>
      <c r="S642" t="s">
        <v>74</v>
      </c>
      <c r="T642" t="s">
        <v>8699</v>
      </c>
      <c r="U642" t="s">
        <v>74</v>
      </c>
      <c r="V642" t="s">
        <v>8700</v>
      </c>
      <c r="W642" t="s">
        <v>8701</v>
      </c>
      <c r="X642" t="s">
        <v>6723</v>
      </c>
      <c r="Y642" t="s">
        <v>8702</v>
      </c>
      <c r="Z642" t="s">
        <v>74</v>
      </c>
      <c r="AA642" t="s">
        <v>74</v>
      </c>
      <c r="AB642" t="s">
        <v>74</v>
      </c>
      <c r="AC642" t="s">
        <v>74</v>
      </c>
      <c r="AD642" t="s">
        <v>74</v>
      </c>
      <c r="AE642" t="s">
        <v>74</v>
      </c>
      <c r="AF642" t="s">
        <v>74</v>
      </c>
      <c r="AG642">
        <v>20</v>
      </c>
      <c r="AH642">
        <v>43</v>
      </c>
      <c r="AI642">
        <v>49</v>
      </c>
      <c r="AJ642">
        <v>0</v>
      </c>
      <c r="AK642">
        <v>11</v>
      </c>
      <c r="AL642" t="s">
        <v>8672</v>
      </c>
      <c r="AM642" t="s">
        <v>5321</v>
      </c>
      <c r="AN642" t="s">
        <v>8673</v>
      </c>
      <c r="AO642" t="s">
        <v>8674</v>
      </c>
      <c r="AP642" t="s">
        <v>74</v>
      </c>
      <c r="AQ642" t="s">
        <v>74</v>
      </c>
      <c r="AR642" t="s">
        <v>8676</v>
      </c>
      <c r="AS642" t="s">
        <v>8677</v>
      </c>
      <c r="AT642" t="s">
        <v>8459</v>
      </c>
      <c r="AU642">
        <v>2000</v>
      </c>
      <c r="AV642">
        <v>71</v>
      </c>
      <c r="AW642">
        <v>9</v>
      </c>
      <c r="AX642" t="s">
        <v>74</v>
      </c>
      <c r="AY642" t="s">
        <v>1106</v>
      </c>
      <c r="AZ642" t="s">
        <v>74</v>
      </c>
      <c r="BA642" t="s">
        <v>74</v>
      </c>
      <c r="BB642" t="s">
        <v>8703</v>
      </c>
      <c r="BC642" t="s">
        <v>8704</v>
      </c>
      <c r="BD642" t="s">
        <v>74</v>
      </c>
      <c r="BE642" t="s">
        <v>74</v>
      </c>
      <c r="BF642" t="s">
        <v>74</v>
      </c>
      <c r="BG642" t="s">
        <v>74</v>
      </c>
      <c r="BH642" t="s">
        <v>74</v>
      </c>
      <c r="BI642">
        <v>9</v>
      </c>
      <c r="BJ642" t="s">
        <v>8680</v>
      </c>
      <c r="BK642" t="s">
        <v>8695</v>
      </c>
      <c r="BL642" t="s">
        <v>8681</v>
      </c>
      <c r="BM642" t="s">
        <v>8682</v>
      </c>
      <c r="BN642">
        <v>10993304</v>
      </c>
      <c r="BO642" t="s">
        <v>74</v>
      </c>
      <c r="BP642" t="s">
        <v>74</v>
      </c>
      <c r="BQ642" t="s">
        <v>74</v>
      </c>
      <c r="BR642" t="s">
        <v>97</v>
      </c>
      <c r="BS642" t="s">
        <v>8705</v>
      </c>
      <c r="BT642" t="str">
        <f>HYPERLINK("https%3A%2F%2Fwww.webofscience.com%2Fwos%2Fwoscc%2Ffull-record%2FWOS:000089121400005","View Full Record in Web of Science")</f>
        <v>View Full Record in Web of Science</v>
      </c>
    </row>
    <row r="643" spans="1:72" x14ac:dyDescent="0.15">
      <c r="A643" t="s">
        <v>72</v>
      </c>
      <c r="B643" t="s">
        <v>8706</v>
      </c>
      <c r="C643" t="s">
        <v>74</v>
      </c>
      <c r="D643" t="s">
        <v>74</v>
      </c>
      <c r="E643" t="s">
        <v>74</v>
      </c>
      <c r="F643" t="s">
        <v>8706</v>
      </c>
      <c r="G643" t="s">
        <v>74</v>
      </c>
      <c r="H643" t="s">
        <v>74</v>
      </c>
      <c r="I643" t="s">
        <v>8707</v>
      </c>
      <c r="J643" t="s">
        <v>8708</v>
      </c>
      <c r="K643" t="s">
        <v>74</v>
      </c>
      <c r="L643" t="s">
        <v>74</v>
      </c>
      <c r="M643" t="s">
        <v>4536</v>
      </c>
      <c r="N643" t="s">
        <v>78</v>
      </c>
      <c r="O643" t="s">
        <v>74</v>
      </c>
      <c r="P643" t="s">
        <v>74</v>
      </c>
      <c r="Q643" t="s">
        <v>74</v>
      </c>
      <c r="R643" t="s">
        <v>74</v>
      </c>
      <c r="S643" t="s">
        <v>74</v>
      </c>
      <c r="T643" t="s">
        <v>8709</v>
      </c>
      <c r="U643" t="s">
        <v>74</v>
      </c>
      <c r="V643" t="s">
        <v>8710</v>
      </c>
      <c r="W643" t="s">
        <v>8711</v>
      </c>
      <c r="X643" t="s">
        <v>8712</v>
      </c>
      <c r="Y643" t="s">
        <v>8713</v>
      </c>
      <c r="Z643" t="s">
        <v>74</v>
      </c>
      <c r="AA643" t="s">
        <v>74</v>
      </c>
      <c r="AB643" t="s">
        <v>74</v>
      </c>
      <c r="AC643" t="s">
        <v>74</v>
      </c>
      <c r="AD643" t="s">
        <v>74</v>
      </c>
      <c r="AE643" t="s">
        <v>74</v>
      </c>
      <c r="AF643" t="s">
        <v>74</v>
      </c>
      <c r="AG643">
        <v>7</v>
      </c>
      <c r="AH643">
        <v>0</v>
      </c>
      <c r="AI643">
        <v>1</v>
      </c>
      <c r="AJ643">
        <v>0</v>
      </c>
      <c r="AK643">
        <v>1</v>
      </c>
      <c r="AL643" t="s">
        <v>4544</v>
      </c>
      <c r="AM643" t="s">
        <v>4545</v>
      </c>
      <c r="AN643" t="s">
        <v>8714</v>
      </c>
      <c r="AO643" t="s">
        <v>8715</v>
      </c>
      <c r="AP643" t="s">
        <v>74</v>
      </c>
      <c r="AQ643" t="s">
        <v>74</v>
      </c>
      <c r="AR643" t="s">
        <v>8716</v>
      </c>
      <c r="AS643" t="s">
        <v>8717</v>
      </c>
      <c r="AT643" t="s">
        <v>8718</v>
      </c>
      <c r="AU643">
        <v>2000</v>
      </c>
      <c r="AV643">
        <v>45</v>
      </c>
      <c r="AW643">
        <v>5</v>
      </c>
      <c r="AX643" t="s">
        <v>74</v>
      </c>
      <c r="AY643" t="s">
        <v>74</v>
      </c>
      <c r="AZ643" t="s">
        <v>74</v>
      </c>
      <c r="BA643" t="s">
        <v>74</v>
      </c>
      <c r="BB643">
        <v>947</v>
      </c>
      <c r="BC643">
        <v>949</v>
      </c>
      <c r="BD643" t="s">
        <v>74</v>
      </c>
      <c r="BE643" t="s">
        <v>74</v>
      </c>
      <c r="BF643" t="s">
        <v>74</v>
      </c>
      <c r="BG643" t="s">
        <v>74</v>
      </c>
      <c r="BH643" t="s">
        <v>74</v>
      </c>
      <c r="BI643">
        <v>3</v>
      </c>
      <c r="BJ643" t="s">
        <v>8719</v>
      </c>
      <c r="BK643" t="s">
        <v>94</v>
      </c>
      <c r="BL643" t="s">
        <v>8719</v>
      </c>
      <c r="BM643" t="s">
        <v>8720</v>
      </c>
      <c r="BN643">
        <v>11094728</v>
      </c>
      <c r="BO643" t="s">
        <v>74</v>
      </c>
      <c r="BP643" t="s">
        <v>74</v>
      </c>
      <c r="BQ643" t="s">
        <v>74</v>
      </c>
      <c r="BR643" t="s">
        <v>97</v>
      </c>
      <c r="BS643" t="s">
        <v>8721</v>
      </c>
      <c r="BT643" t="str">
        <f>HYPERLINK("https%3A%2F%2Fwww.webofscience.com%2Fwos%2Fwoscc%2Ffull-record%2FWOS:000165128400029","View Full Record in Web of Science")</f>
        <v>View Full Record in Web of Science</v>
      </c>
    </row>
    <row r="644" spans="1:72" x14ac:dyDescent="0.15">
      <c r="A644" t="s">
        <v>72</v>
      </c>
      <c r="B644" t="s">
        <v>8722</v>
      </c>
      <c r="C644" t="s">
        <v>74</v>
      </c>
      <c r="D644" t="s">
        <v>74</v>
      </c>
      <c r="E644" t="s">
        <v>74</v>
      </c>
      <c r="F644" t="s">
        <v>8722</v>
      </c>
      <c r="G644" t="s">
        <v>74</v>
      </c>
      <c r="H644" t="s">
        <v>74</v>
      </c>
      <c r="I644" t="s">
        <v>8723</v>
      </c>
      <c r="J644" t="s">
        <v>8724</v>
      </c>
      <c r="K644" t="s">
        <v>74</v>
      </c>
      <c r="L644" t="s">
        <v>74</v>
      </c>
      <c r="M644" t="s">
        <v>77</v>
      </c>
      <c r="N644" t="s">
        <v>576</v>
      </c>
      <c r="O644" t="s">
        <v>8725</v>
      </c>
      <c r="P644" t="s">
        <v>8726</v>
      </c>
      <c r="Q644" t="s">
        <v>8727</v>
      </c>
      <c r="R644" t="s">
        <v>74</v>
      </c>
      <c r="S644" t="s">
        <v>74</v>
      </c>
      <c r="T644" t="s">
        <v>8728</v>
      </c>
      <c r="U644" t="s">
        <v>8729</v>
      </c>
      <c r="V644" t="s">
        <v>8730</v>
      </c>
      <c r="W644" t="s">
        <v>8731</v>
      </c>
      <c r="X644" t="s">
        <v>8732</v>
      </c>
      <c r="Y644" t="s">
        <v>8733</v>
      </c>
      <c r="Z644" t="s">
        <v>74</v>
      </c>
      <c r="AA644" t="s">
        <v>74</v>
      </c>
      <c r="AB644" t="s">
        <v>74</v>
      </c>
      <c r="AC644" t="s">
        <v>74</v>
      </c>
      <c r="AD644" t="s">
        <v>74</v>
      </c>
      <c r="AE644" t="s">
        <v>74</v>
      </c>
      <c r="AF644" t="s">
        <v>74</v>
      </c>
      <c r="AG644">
        <v>98</v>
      </c>
      <c r="AH644">
        <v>22</v>
      </c>
      <c r="AI644">
        <v>27</v>
      </c>
      <c r="AJ644">
        <v>0</v>
      </c>
      <c r="AK644">
        <v>10</v>
      </c>
      <c r="AL644" t="s">
        <v>5568</v>
      </c>
      <c r="AM644" t="s">
        <v>1208</v>
      </c>
      <c r="AN644" t="s">
        <v>1900</v>
      </c>
      <c r="AO644" t="s">
        <v>8734</v>
      </c>
      <c r="AP644" t="s">
        <v>74</v>
      </c>
      <c r="AQ644" t="s">
        <v>74</v>
      </c>
      <c r="AR644" t="s">
        <v>8735</v>
      </c>
      <c r="AS644" t="s">
        <v>8736</v>
      </c>
      <c r="AT644" t="s">
        <v>8718</v>
      </c>
      <c r="AU644">
        <v>2000</v>
      </c>
      <c r="AV644">
        <v>134</v>
      </c>
      <c r="AW644" t="s">
        <v>870</v>
      </c>
      <c r="AX644" t="s">
        <v>74</v>
      </c>
      <c r="AY644" t="s">
        <v>74</v>
      </c>
      <c r="AZ644" t="s">
        <v>74</v>
      </c>
      <c r="BA644" t="s">
        <v>74</v>
      </c>
      <c r="BB644">
        <v>361</v>
      </c>
      <c r="BC644">
        <v>381</v>
      </c>
      <c r="BD644" t="s">
        <v>74</v>
      </c>
      <c r="BE644" t="s">
        <v>8737</v>
      </c>
      <c r="BF644" t="str">
        <f>HYPERLINK("http://dx.doi.org/10.1006/bojl.2000.0377","http://dx.doi.org/10.1006/bojl.2000.0377")</f>
        <v>http://dx.doi.org/10.1006/bojl.2000.0377</v>
      </c>
      <c r="BG644" t="s">
        <v>74</v>
      </c>
      <c r="BH644" t="s">
        <v>74</v>
      </c>
      <c r="BI644">
        <v>21</v>
      </c>
      <c r="BJ644" t="s">
        <v>3818</v>
      </c>
      <c r="BK644" t="s">
        <v>596</v>
      </c>
      <c r="BL644" t="s">
        <v>3818</v>
      </c>
      <c r="BM644" t="s">
        <v>8738</v>
      </c>
      <c r="BN644" t="s">
        <v>74</v>
      </c>
      <c r="BO644" t="s">
        <v>74</v>
      </c>
      <c r="BP644" t="s">
        <v>74</v>
      </c>
      <c r="BQ644" t="s">
        <v>74</v>
      </c>
      <c r="BR644" t="s">
        <v>97</v>
      </c>
      <c r="BS644" t="s">
        <v>8739</v>
      </c>
      <c r="BT644" t="str">
        <f>HYPERLINK("https%3A%2F%2Fwww.webofscience.com%2Fwos%2Fwoscc%2Ffull-record%2FWOS:000089877900017","View Full Record in Web of Science")</f>
        <v>View Full Record in Web of Science</v>
      </c>
    </row>
    <row r="645" spans="1:72" x14ac:dyDescent="0.15">
      <c r="A645" t="s">
        <v>72</v>
      </c>
      <c r="B645" t="s">
        <v>8740</v>
      </c>
      <c r="C645" t="s">
        <v>74</v>
      </c>
      <c r="D645" t="s">
        <v>74</v>
      </c>
      <c r="E645" t="s">
        <v>74</v>
      </c>
      <c r="F645" t="s">
        <v>8740</v>
      </c>
      <c r="G645" t="s">
        <v>74</v>
      </c>
      <c r="H645" t="s">
        <v>74</v>
      </c>
      <c r="I645" t="s">
        <v>8741</v>
      </c>
      <c r="J645" t="s">
        <v>6641</v>
      </c>
      <c r="K645" t="s">
        <v>74</v>
      </c>
      <c r="L645" t="s">
        <v>74</v>
      </c>
      <c r="M645" t="s">
        <v>77</v>
      </c>
      <c r="N645" t="s">
        <v>576</v>
      </c>
      <c r="O645" t="s">
        <v>6642</v>
      </c>
      <c r="P645">
        <v>2000</v>
      </c>
      <c r="Q645" t="s">
        <v>1363</v>
      </c>
      <c r="R645" t="s">
        <v>74</v>
      </c>
      <c r="S645" t="s">
        <v>74</v>
      </c>
      <c r="T645" t="s">
        <v>8742</v>
      </c>
      <c r="U645" t="s">
        <v>8743</v>
      </c>
      <c r="V645" t="s">
        <v>8744</v>
      </c>
      <c r="W645" t="s">
        <v>8745</v>
      </c>
      <c r="X645" t="s">
        <v>7148</v>
      </c>
      <c r="Y645" t="s">
        <v>8746</v>
      </c>
      <c r="Z645" t="s">
        <v>74</v>
      </c>
      <c r="AA645" t="s">
        <v>8747</v>
      </c>
      <c r="AB645" t="s">
        <v>8748</v>
      </c>
      <c r="AC645" t="s">
        <v>74</v>
      </c>
      <c r="AD645" t="s">
        <v>74</v>
      </c>
      <c r="AE645" t="s">
        <v>74</v>
      </c>
      <c r="AF645" t="s">
        <v>74</v>
      </c>
      <c r="AG645">
        <v>29</v>
      </c>
      <c r="AH645">
        <v>11</v>
      </c>
      <c r="AI645">
        <v>15</v>
      </c>
      <c r="AJ645">
        <v>0</v>
      </c>
      <c r="AK645">
        <v>7</v>
      </c>
      <c r="AL645" t="s">
        <v>6647</v>
      </c>
      <c r="AM645" t="s">
        <v>1208</v>
      </c>
      <c r="AN645" t="s">
        <v>6648</v>
      </c>
      <c r="AO645" t="s">
        <v>6649</v>
      </c>
      <c r="AP645" t="s">
        <v>74</v>
      </c>
      <c r="AQ645" t="s">
        <v>74</v>
      </c>
      <c r="AR645" t="s">
        <v>6650</v>
      </c>
      <c r="AS645" t="s">
        <v>6651</v>
      </c>
      <c r="AT645" t="s">
        <v>8718</v>
      </c>
      <c r="AU645">
        <v>2000</v>
      </c>
      <c r="AV645">
        <v>21</v>
      </c>
      <c r="AW645">
        <v>5</v>
      </c>
      <c r="AX645" t="s">
        <v>74</v>
      </c>
      <c r="AY645" t="s">
        <v>74</v>
      </c>
      <c r="AZ645" t="s">
        <v>74</v>
      </c>
      <c r="BA645" t="s">
        <v>74</v>
      </c>
      <c r="BB645">
        <v>315</v>
      </c>
      <c r="BC645">
        <v>324</v>
      </c>
      <c r="BD645" t="s">
        <v>74</v>
      </c>
      <c r="BE645" t="s">
        <v>74</v>
      </c>
      <c r="BF645" t="s">
        <v>74</v>
      </c>
      <c r="BG645" t="s">
        <v>74</v>
      </c>
      <c r="BH645" t="s">
        <v>74</v>
      </c>
      <c r="BI645">
        <v>10</v>
      </c>
      <c r="BJ645" t="s">
        <v>6653</v>
      </c>
      <c r="BK645" t="s">
        <v>596</v>
      </c>
      <c r="BL645" t="s">
        <v>6654</v>
      </c>
      <c r="BM645" t="s">
        <v>8749</v>
      </c>
      <c r="BN645">
        <v>12148036</v>
      </c>
      <c r="BO645" t="s">
        <v>74</v>
      </c>
      <c r="BP645" t="s">
        <v>74</v>
      </c>
      <c r="BQ645" t="s">
        <v>74</v>
      </c>
      <c r="BR645" t="s">
        <v>97</v>
      </c>
      <c r="BS645" t="s">
        <v>8750</v>
      </c>
      <c r="BT645" t="str">
        <f>HYPERLINK("https%3A%2F%2Fwww.webofscience.com%2Fwos%2Fwoscc%2Ffull-record%2FWOS:000090101800007","View Full Record in Web of Science")</f>
        <v>View Full Record in Web of Science</v>
      </c>
    </row>
    <row r="646" spans="1:72" x14ac:dyDescent="0.15">
      <c r="A646" t="s">
        <v>72</v>
      </c>
      <c r="B646" t="s">
        <v>8751</v>
      </c>
      <c r="C646" t="s">
        <v>74</v>
      </c>
      <c r="D646" t="s">
        <v>74</v>
      </c>
      <c r="E646" t="s">
        <v>74</v>
      </c>
      <c r="F646" t="s">
        <v>8751</v>
      </c>
      <c r="G646" t="s">
        <v>74</v>
      </c>
      <c r="H646" t="s">
        <v>74</v>
      </c>
      <c r="I646" t="s">
        <v>8752</v>
      </c>
      <c r="J646" t="s">
        <v>235</v>
      </c>
      <c r="K646" t="s">
        <v>74</v>
      </c>
      <c r="L646" t="s">
        <v>74</v>
      </c>
      <c r="M646" t="s">
        <v>77</v>
      </c>
      <c r="N646" t="s">
        <v>236</v>
      </c>
      <c r="O646" t="s">
        <v>74</v>
      </c>
      <c r="P646" t="s">
        <v>74</v>
      </c>
      <c r="Q646" t="s">
        <v>74</v>
      </c>
      <c r="R646" t="s">
        <v>74</v>
      </c>
      <c r="S646" t="s">
        <v>74</v>
      </c>
      <c r="T646" t="s">
        <v>74</v>
      </c>
      <c r="U646" t="s">
        <v>8753</v>
      </c>
      <c r="V646" t="s">
        <v>8754</v>
      </c>
      <c r="W646" t="s">
        <v>8755</v>
      </c>
      <c r="X646" t="s">
        <v>8756</v>
      </c>
      <c r="Y646" t="s">
        <v>8757</v>
      </c>
      <c r="Z646" t="s">
        <v>8758</v>
      </c>
      <c r="AA646" t="s">
        <v>74</v>
      </c>
      <c r="AB646" t="s">
        <v>74</v>
      </c>
      <c r="AC646" t="s">
        <v>74</v>
      </c>
      <c r="AD646" t="s">
        <v>74</v>
      </c>
      <c r="AE646" t="s">
        <v>74</v>
      </c>
      <c r="AF646" t="s">
        <v>74</v>
      </c>
      <c r="AG646">
        <v>107</v>
      </c>
      <c r="AH646">
        <v>132</v>
      </c>
      <c r="AI646">
        <v>139</v>
      </c>
      <c r="AJ646">
        <v>2</v>
      </c>
      <c r="AK646">
        <v>55</v>
      </c>
      <c r="AL646" t="s">
        <v>245</v>
      </c>
      <c r="AM646" t="s">
        <v>246</v>
      </c>
      <c r="AN646" t="s">
        <v>247</v>
      </c>
      <c r="AO646" t="s">
        <v>248</v>
      </c>
      <c r="AP646" t="s">
        <v>276</v>
      </c>
      <c r="AQ646" t="s">
        <v>74</v>
      </c>
      <c r="AR646" t="s">
        <v>249</v>
      </c>
      <c r="AS646" t="s">
        <v>250</v>
      </c>
      <c r="AT646" t="s">
        <v>8459</v>
      </c>
      <c r="AU646">
        <v>2000</v>
      </c>
      <c r="AV646">
        <v>47</v>
      </c>
      <c r="AW646">
        <v>9</v>
      </c>
      <c r="AX646" t="s">
        <v>74</v>
      </c>
      <c r="AY646" t="s">
        <v>74</v>
      </c>
      <c r="AZ646" t="s">
        <v>74</v>
      </c>
      <c r="BA646" t="s">
        <v>74</v>
      </c>
      <c r="BB646">
        <v>1621</v>
      </c>
      <c r="BC646">
        <v>1662</v>
      </c>
      <c r="BD646" t="s">
        <v>74</v>
      </c>
      <c r="BE646" t="s">
        <v>8759</v>
      </c>
      <c r="BF646" t="str">
        <f>HYPERLINK("http://dx.doi.org/10.1016/S0967-0637(00)00005-4","http://dx.doi.org/10.1016/S0967-0637(00)00005-4")</f>
        <v>http://dx.doi.org/10.1016/S0967-0637(00)00005-4</v>
      </c>
      <c r="BG646" t="s">
        <v>74</v>
      </c>
      <c r="BH646" t="s">
        <v>74</v>
      </c>
      <c r="BI646">
        <v>42</v>
      </c>
      <c r="BJ646" t="s">
        <v>252</v>
      </c>
      <c r="BK646" t="s">
        <v>94</v>
      </c>
      <c r="BL646" t="s">
        <v>252</v>
      </c>
      <c r="BM646" t="s">
        <v>8760</v>
      </c>
      <c r="BN646" t="s">
        <v>74</v>
      </c>
      <c r="BO646" t="s">
        <v>74</v>
      </c>
      <c r="BP646" t="s">
        <v>74</v>
      </c>
      <c r="BQ646" t="s">
        <v>74</v>
      </c>
      <c r="BR646" t="s">
        <v>97</v>
      </c>
      <c r="BS646" t="s">
        <v>8761</v>
      </c>
      <c r="BT646" t="str">
        <f>HYPERLINK("https%3A%2F%2Fwww.webofscience.com%2Fwos%2Fwoscc%2Ffull-record%2FWOS:000087402800002","View Full Record in Web of Science")</f>
        <v>View Full Record in Web of Science</v>
      </c>
    </row>
    <row r="647" spans="1:72" x14ac:dyDescent="0.15">
      <c r="A647" t="s">
        <v>72</v>
      </c>
      <c r="B647" t="s">
        <v>8762</v>
      </c>
      <c r="C647" t="s">
        <v>74</v>
      </c>
      <c r="D647" t="s">
        <v>74</v>
      </c>
      <c r="E647" t="s">
        <v>74</v>
      </c>
      <c r="F647" t="s">
        <v>8762</v>
      </c>
      <c r="G647" t="s">
        <v>74</v>
      </c>
      <c r="H647" t="s">
        <v>74</v>
      </c>
      <c r="I647" t="s">
        <v>8763</v>
      </c>
      <c r="J647" t="s">
        <v>235</v>
      </c>
      <c r="K647" t="s">
        <v>74</v>
      </c>
      <c r="L647" t="s">
        <v>74</v>
      </c>
      <c r="M647" t="s">
        <v>77</v>
      </c>
      <c r="N647" t="s">
        <v>78</v>
      </c>
      <c r="O647" t="s">
        <v>74</v>
      </c>
      <c r="P647" t="s">
        <v>74</v>
      </c>
      <c r="Q647" t="s">
        <v>74</v>
      </c>
      <c r="R647" t="s">
        <v>74</v>
      </c>
      <c r="S647" t="s">
        <v>74</v>
      </c>
      <c r="T647" t="s">
        <v>8764</v>
      </c>
      <c r="U647" t="s">
        <v>8765</v>
      </c>
      <c r="V647" t="s">
        <v>8766</v>
      </c>
      <c r="W647" t="s">
        <v>8767</v>
      </c>
      <c r="X647" t="s">
        <v>8768</v>
      </c>
      <c r="Y647" t="s">
        <v>8769</v>
      </c>
      <c r="Z647" t="s">
        <v>8770</v>
      </c>
      <c r="AA647" t="s">
        <v>8771</v>
      </c>
      <c r="AB647" t="s">
        <v>8772</v>
      </c>
      <c r="AC647" t="s">
        <v>74</v>
      </c>
      <c r="AD647" t="s">
        <v>74</v>
      </c>
      <c r="AE647" t="s">
        <v>74</v>
      </c>
      <c r="AF647" t="s">
        <v>74</v>
      </c>
      <c r="AG647">
        <v>73</v>
      </c>
      <c r="AH647">
        <v>96</v>
      </c>
      <c r="AI647">
        <v>100</v>
      </c>
      <c r="AJ647">
        <v>1</v>
      </c>
      <c r="AK647">
        <v>21</v>
      </c>
      <c r="AL647" t="s">
        <v>245</v>
      </c>
      <c r="AM647" t="s">
        <v>246</v>
      </c>
      <c r="AN647" t="s">
        <v>247</v>
      </c>
      <c r="AO647" t="s">
        <v>248</v>
      </c>
      <c r="AP647" t="s">
        <v>276</v>
      </c>
      <c r="AQ647" t="s">
        <v>74</v>
      </c>
      <c r="AR647" t="s">
        <v>249</v>
      </c>
      <c r="AS647" t="s">
        <v>250</v>
      </c>
      <c r="AT647" t="s">
        <v>8459</v>
      </c>
      <c r="AU647">
        <v>2000</v>
      </c>
      <c r="AV647">
        <v>47</v>
      </c>
      <c r="AW647">
        <v>9</v>
      </c>
      <c r="AX647" t="s">
        <v>74</v>
      </c>
      <c r="AY647" t="s">
        <v>74</v>
      </c>
      <c r="AZ647" t="s">
        <v>74</v>
      </c>
      <c r="BA647" t="s">
        <v>74</v>
      </c>
      <c r="BB647">
        <v>1663</v>
      </c>
      <c r="BC647">
        <v>1686</v>
      </c>
      <c r="BD647" t="s">
        <v>74</v>
      </c>
      <c r="BE647" t="s">
        <v>8773</v>
      </c>
      <c r="BF647" t="str">
        <f>HYPERLINK("http://dx.doi.org/10.1016/S0967-0637(99)00122-3","http://dx.doi.org/10.1016/S0967-0637(99)00122-3")</f>
        <v>http://dx.doi.org/10.1016/S0967-0637(99)00122-3</v>
      </c>
      <c r="BG647" t="s">
        <v>74</v>
      </c>
      <c r="BH647" t="s">
        <v>74</v>
      </c>
      <c r="BI647">
        <v>24</v>
      </c>
      <c r="BJ647" t="s">
        <v>252</v>
      </c>
      <c r="BK647" t="s">
        <v>94</v>
      </c>
      <c r="BL647" t="s">
        <v>252</v>
      </c>
      <c r="BM647" t="s">
        <v>8760</v>
      </c>
      <c r="BN647" t="s">
        <v>74</v>
      </c>
      <c r="BO647" t="s">
        <v>74</v>
      </c>
      <c r="BP647" t="s">
        <v>74</v>
      </c>
      <c r="BQ647" t="s">
        <v>74</v>
      </c>
      <c r="BR647" t="s">
        <v>97</v>
      </c>
      <c r="BS647" t="s">
        <v>8774</v>
      </c>
      <c r="BT647" t="str">
        <f>HYPERLINK("https%3A%2F%2Fwww.webofscience.com%2Fwos%2Fwoscc%2Ffull-record%2FWOS:000087402800003","View Full Record in Web of Science")</f>
        <v>View Full Record in Web of Science</v>
      </c>
    </row>
    <row r="648" spans="1:72" x14ac:dyDescent="0.15">
      <c r="A648" t="s">
        <v>72</v>
      </c>
      <c r="B648" t="s">
        <v>8775</v>
      </c>
      <c r="C648" t="s">
        <v>74</v>
      </c>
      <c r="D648" t="s">
        <v>74</v>
      </c>
      <c r="E648" t="s">
        <v>74</v>
      </c>
      <c r="F648" t="s">
        <v>8775</v>
      </c>
      <c r="G648" t="s">
        <v>74</v>
      </c>
      <c r="H648" t="s">
        <v>74</v>
      </c>
      <c r="I648" t="s">
        <v>8776</v>
      </c>
      <c r="J648" t="s">
        <v>235</v>
      </c>
      <c r="K648" t="s">
        <v>74</v>
      </c>
      <c r="L648" t="s">
        <v>74</v>
      </c>
      <c r="M648" t="s">
        <v>77</v>
      </c>
      <c r="N648" t="s">
        <v>78</v>
      </c>
      <c r="O648" t="s">
        <v>74</v>
      </c>
      <c r="P648" t="s">
        <v>74</v>
      </c>
      <c r="Q648" t="s">
        <v>74</v>
      </c>
      <c r="R648" t="s">
        <v>74</v>
      </c>
      <c r="S648" t="s">
        <v>74</v>
      </c>
      <c r="T648" t="s">
        <v>8777</v>
      </c>
      <c r="U648" t="s">
        <v>8778</v>
      </c>
      <c r="V648" t="s">
        <v>8779</v>
      </c>
      <c r="W648" t="s">
        <v>8780</v>
      </c>
      <c r="X648" t="s">
        <v>8781</v>
      </c>
      <c r="Y648" t="s">
        <v>8769</v>
      </c>
      <c r="Z648" t="s">
        <v>8782</v>
      </c>
      <c r="AA648" t="s">
        <v>8783</v>
      </c>
      <c r="AB648" t="s">
        <v>8784</v>
      </c>
      <c r="AC648" t="s">
        <v>74</v>
      </c>
      <c r="AD648" t="s">
        <v>74</v>
      </c>
      <c r="AE648" t="s">
        <v>74</v>
      </c>
      <c r="AF648" t="s">
        <v>74</v>
      </c>
      <c r="AG648">
        <v>47</v>
      </c>
      <c r="AH648">
        <v>48</v>
      </c>
      <c r="AI648">
        <v>53</v>
      </c>
      <c r="AJ648">
        <v>0</v>
      </c>
      <c r="AK648">
        <v>18</v>
      </c>
      <c r="AL648" t="s">
        <v>245</v>
      </c>
      <c r="AM648" t="s">
        <v>246</v>
      </c>
      <c r="AN648" t="s">
        <v>247</v>
      </c>
      <c r="AO648" t="s">
        <v>248</v>
      </c>
      <c r="AP648" t="s">
        <v>276</v>
      </c>
      <c r="AQ648" t="s">
        <v>74</v>
      </c>
      <c r="AR648" t="s">
        <v>249</v>
      </c>
      <c r="AS648" t="s">
        <v>250</v>
      </c>
      <c r="AT648" t="s">
        <v>8459</v>
      </c>
      <c r="AU648">
        <v>2000</v>
      </c>
      <c r="AV648">
        <v>47</v>
      </c>
      <c r="AW648">
        <v>9</v>
      </c>
      <c r="AX648" t="s">
        <v>74</v>
      </c>
      <c r="AY648" t="s">
        <v>74</v>
      </c>
      <c r="AZ648" t="s">
        <v>74</v>
      </c>
      <c r="BA648" t="s">
        <v>74</v>
      </c>
      <c r="BB648">
        <v>1687</v>
      </c>
      <c r="BC648">
        <v>1702</v>
      </c>
      <c r="BD648" t="s">
        <v>74</v>
      </c>
      <c r="BE648" t="s">
        <v>8785</v>
      </c>
      <c r="BF648" t="str">
        <f>HYPERLINK("http://dx.doi.org/10.1016/S0967-0637(99)00121-1","http://dx.doi.org/10.1016/S0967-0637(99)00121-1")</f>
        <v>http://dx.doi.org/10.1016/S0967-0637(99)00121-1</v>
      </c>
      <c r="BG648" t="s">
        <v>74</v>
      </c>
      <c r="BH648" t="s">
        <v>74</v>
      </c>
      <c r="BI648">
        <v>16</v>
      </c>
      <c r="BJ648" t="s">
        <v>252</v>
      </c>
      <c r="BK648" t="s">
        <v>94</v>
      </c>
      <c r="BL648" t="s">
        <v>252</v>
      </c>
      <c r="BM648" t="s">
        <v>8760</v>
      </c>
      <c r="BN648" t="s">
        <v>74</v>
      </c>
      <c r="BO648" t="s">
        <v>74</v>
      </c>
      <c r="BP648" t="s">
        <v>74</v>
      </c>
      <c r="BQ648" t="s">
        <v>74</v>
      </c>
      <c r="BR648" t="s">
        <v>97</v>
      </c>
      <c r="BS648" t="s">
        <v>8786</v>
      </c>
      <c r="BT648" t="str">
        <f>HYPERLINK("https%3A%2F%2Fwww.webofscience.com%2Fwos%2Fwoscc%2Ffull-record%2FWOS:000087402800004","View Full Record in Web of Science")</f>
        <v>View Full Record in Web of Science</v>
      </c>
    </row>
    <row r="649" spans="1:72" x14ac:dyDescent="0.15">
      <c r="A649" t="s">
        <v>72</v>
      </c>
      <c r="B649" t="s">
        <v>8787</v>
      </c>
      <c r="C649" t="s">
        <v>74</v>
      </c>
      <c r="D649" t="s">
        <v>74</v>
      </c>
      <c r="E649" t="s">
        <v>74</v>
      </c>
      <c r="F649" t="s">
        <v>8787</v>
      </c>
      <c r="G649" t="s">
        <v>74</v>
      </c>
      <c r="H649" t="s">
        <v>74</v>
      </c>
      <c r="I649" t="s">
        <v>8788</v>
      </c>
      <c r="J649" t="s">
        <v>922</v>
      </c>
      <c r="K649" t="s">
        <v>74</v>
      </c>
      <c r="L649" t="s">
        <v>74</v>
      </c>
      <c r="M649" t="s">
        <v>77</v>
      </c>
      <c r="N649" t="s">
        <v>78</v>
      </c>
      <c r="O649" t="s">
        <v>74</v>
      </c>
      <c r="P649" t="s">
        <v>74</v>
      </c>
      <c r="Q649" t="s">
        <v>74</v>
      </c>
      <c r="R649" t="s">
        <v>74</v>
      </c>
      <c r="S649" t="s">
        <v>74</v>
      </c>
      <c r="T649" t="s">
        <v>74</v>
      </c>
      <c r="U649" t="s">
        <v>8789</v>
      </c>
      <c r="V649" t="s">
        <v>8790</v>
      </c>
      <c r="W649" t="s">
        <v>8791</v>
      </c>
      <c r="X649" t="s">
        <v>8792</v>
      </c>
      <c r="Y649" t="s">
        <v>8793</v>
      </c>
      <c r="Z649" t="s">
        <v>8794</v>
      </c>
      <c r="AA649" t="s">
        <v>74</v>
      </c>
      <c r="AB649" t="s">
        <v>74</v>
      </c>
      <c r="AC649" t="s">
        <v>74</v>
      </c>
      <c r="AD649" t="s">
        <v>74</v>
      </c>
      <c r="AE649" t="s">
        <v>74</v>
      </c>
      <c r="AF649" t="s">
        <v>74</v>
      </c>
      <c r="AG649">
        <v>39</v>
      </c>
      <c r="AH649">
        <v>38</v>
      </c>
      <c r="AI649">
        <v>44</v>
      </c>
      <c r="AJ649">
        <v>1</v>
      </c>
      <c r="AK649">
        <v>15</v>
      </c>
      <c r="AL649" t="s">
        <v>906</v>
      </c>
      <c r="AM649" t="s">
        <v>160</v>
      </c>
      <c r="AN649" t="s">
        <v>890</v>
      </c>
      <c r="AO649" t="s">
        <v>929</v>
      </c>
      <c r="AP649" t="s">
        <v>74</v>
      </c>
      <c r="AQ649" t="s">
        <v>74</v>
      </c>
      <c r="AR649" t="s">
        <v>930</v>
      </c>
      <c r="AS649" t="s">
        <v>931</v>
      </c>
      <c r="AT649" t="s">
        <v>8718</v>
      </c>
      <c r="AU649">
        <v>2000</v>
      </c>
      <c r="AV649">
        <v>368</v>
      </c>
      <c r="AW649" t="s">
        <v>165</v>
      </c>
      <c r="AX649" t="s">
        <v>74</v>
      </c>
      <c r="AY649" t="s">
        <v>74</v>
      </c>
      <c r="AZ649" t="s">
        <v>74</v>
      </c>
      <c r="BA649" t="s">
        <v>74</v>
      </c>
      <c r="BB649">
        <v>297</v>
      </c>
      <c r="BC649">
        <v>302</v>
      </c>
      <c r="BD649" t="s">
        <v>74</v>
      </c>
      <c r="BE649" t="s">
        <v>8795</v>
      </c>
      <c r="BF649" t="str">
        <f>HYPERLINK("http://dx.doi.org/10.1007/s002160000491","http://dx.doi.org/10.1007/s002160000491")</f>
        <v>http://dx.doi.org/10.1007/s002160000491</v>
      </c>
      <c r="BG649" t="s">
        <v>74</v>
      </c>
      <c r="BH649" t="s">
        <v>74</v>
      </c>
      <c r="BI649">
        <v>6</v>
      </c>
      <c r="BJ649" t="s">
        <v>933</v>
      </c>
      <c r="BK649" t="s">
        <v>94</v>
      </c>
      <c r="BL649" t="s">
        <v>934</v>
      </c>
      <c r="BM649" t="s">
        <v>8796</v>
      </c>
      <c r="BN649">
        <v>11220596</v>
      </c>
      <c r="BO649" t="s">
        <v>74</v>
      </c>
      <c r="BP649" t="s">
        <v>74</v>
      </c>
      <c r="BQ649" t="s">
        <v>74</v>
      </c>
      <c r="BR649" t="s">
        <v>97</v>
      </c>
      <c r="BS649" t="s">
        <v>8797</v>
      </c>
      <c r="BT649" t="str">
        <f>HYPERLINK("https%3A%2F%2Fwww.webofscience.com%2Fwos%2Fwoscc%2Ffull-record%2FWOS:000089511400029","View Full Record in Web of Science")</f>
        <v>View Full Record in Web of Science</v>
      </c>
    </row>
    <row r="650" spans="1:72" x14ac:dyDescent="0.15">
      <c r="A650" t="s">
        <v>72</v>
      </c>
      <c r="B650" t="s">
        <v>8798</v>
      </c>
      <c r="C650" t="s">
        <v>74</v>
      </c>
      <c r="D650" t="s">
        <v>74</v>
      </c>
      <c r="E650" t="s">
        <v>74</v>
      </c>
      <c r="F650" t="s">
        <v>8798</v>
      </c>
      <c r="G650" t="s">
        <v>74</v>
      </c>
      <c r="H650" t="s">
        <v>74</v>
      </c>
      <c r="I650" t="s">
        <v>8799</v>
      </c>
      <c r="J650" t="s">
        <v>975</v>
      </c>
      <c r="K650" t="s">
        <v>74</v>
      </c>
      <c r="L650" t="s">
        <v>74</v>
      </c>
      <c r="M650" t="s">
        <v>77</v>
      </c>
      <c r="N650" t="s">
        <v>78</v>
      </c>
      <c r="O650" t="s">
        <v>74</v>
      </c>
      <c r="P650" t="s">
        <v>74</v>
      </c>
      <c r="Q650" t="s">
        <v>74</v>
      </c>
      <c r="R650" t="s">
        <v>74</v>
      </c>
      <c r="S650" t="s">
        <v>74</v>
      </c>
      <c r="T650" t="s">
        <v>8800</v>
      </c>
      <c r="U650" t="s">
        <v>8801</v>
      </c>
      <c r="V650" t="s">
        <v>8802</v>
      </c>
      <c r="W650" t="s">
        <v>8803</v>
      </c>
      <c r="X650" t="s">
        <v>8804</v>
      </c>
      <c r="Y650" t="s">
        <v>8805</v>
      </c>
      <c r="Z650" t="s">
        <v>74</v>
      </c>
      <c r="AA650" t="s">
        <v>74</v>
      </c>
      <c r="AB650" t="s">
        <v>8806</v>
      </c>
      <c r="AC650" t="s">
        <v>74</v>
      </c>
      <c r="AD650" t="s">
        <v>74</v>
      </c>
      <c r="AE650" t="s">
        <v>74</v>
      </c>
      <c r="AF650" t="s">
        <v>74</v>
      </c>
      <c r="AG650">
        <v>36</v>
      </c>
      <c r="AH650">
        <v>40</v>
      </c>
      <c r="AI650">
        <v>43</v>
      </c>
      <c r="AJ650">
        <v>0</v>
      </c>
      <c r="AK650">
        <v>9</v>
      </c>
      <c r="AL650" t="s">
        <v>981</v>
      </c>
      <c r="AM650" t="s">
        <v>982</v>
      </c>
      <c r="AN650" t="s">
        <v>983</v>
      </c>
      <c r="AO650" t="s">
        <v>984</v>
      </c>
      <c r="AP650" t="s">
        <v>74</v>
      </c>
      <c r="AQ650" t="s">
        <v>74</v>
      </c>
      <c r="AR650" t="s">
        <v>975</v>
      </c>
      <c r="AS650" t="s">
        <v>597</v>
      </c>
      <c r="AT650" t="s">
        <v>8459</v>
      </c>
      <c r="AU650">
        <v>2000</v>
      </c>
      <c r="AV650">
        <v>28</v>
      </c>
      <c r="AW650">
        <v>9</v>
      </c>
      <c r="AX650" t="s">
        <v>74</v>
      </c>
      <c r="AY650" t="s">
        <v>74</v>
      </c>
      <c r="AZ650" t="s">
        <v>74</v>
      </c>
      <c r="BA650" t="s">
        <v>74</v>
      </c>
      <c r="BB650">
        <v>807</v>
      </c>
      <c r="BC650">
        <v>810</v>
      </c>
      <c r="BD650" t="s">
        <v>74</v>
      </c>
      <c r="BE650" t="s">
        <v>8807</v>
      </c>
      <c r="BF650" t="str">
        <f>HYPERLINK("http://dx.doi.org/10.1130/0091-7613(2000)028&lt;0807:MSCINA&gt;2.3.CO;2","http://dx.doi.org/10.1130/0091-7613(2000)028&lt;0807:MSCINA&gt;2.3.CO;2")</f>
        <v>http://dx.doi.org/10.1130/0091-7613(2000)028&lt;0807:MSCINA&gt;2.3.CO;2</v>
      </c>
      <c r="BG650" t="s">
        <v>74</v>
      </c>
      <c r="BH650" t="s">
        <v>74</v>
      </c>
      <c r="BI650">
        <v>4</v>
      </c>
      <c r="BJ650" t="s">
        <v>597</v>
      </c>
      <c r="BK650" t="s">
        <v>94</v>
      </c>
      <c r="BL650" t="s">
        <v>597</v>
      </c>
      <c r="BM650" t="s">
        <v>8808</v>
      </c>
      <c r="BN650" t="s">
        <v>74</v>
      </c>
      <c r="BO650" t="s">
        <v>74</v>
      </c>
      <c r="BP650" t="s">
        <v>74</v>
      </c>
      <c r="BQ650" t="s">
        <v>74</v>
      </c>
      <c r="BR650" t="s">
        <v>97</v>
      </c>
      <c r="BS650" t="s">
        <v>8809</v>
      </c>
      <c r="BT650" t="str">
        <f>HYPERLINK("https%3A%2F%2Fwww.webofscience.com%2Fwos%2Fwoscc%2Ffull-record%2FWOS:000089269100010","View Full Record in Web of Science")</f>
        <v>View Full Record in Web of Science</v>
      </c>
    </row>
    <row r="651" spans="1:72" x14ac:dyDescent="0.15">
      <c r="A651" t="s">
        <v>72</v>
      </c>
      <c r="B651" t="s">
        <v>8810</v>
      </c>
      <c r="C651" t="s">
        <v>74</v>
      </c>
      <c r="D651" t="s">
        <v>74</v>
      </c>
      <c r="E651" t="s">
        <v>74</v>
      </c>
      <c r="F651" t="s">
        <v>8810</v>
      </c>
      <c r="G651" t="s">
        <v>74</v>
      </c>
      <c r="H651" t="s">
        <v>74</v>
      </c>
      <c r="I651" t="s">
        <v>8811</v>
      </c>
      <c r="J651" t="s">
        <v>1001</v>
      </c>
      <c r="K651" t="s">
        <v>74</v>
      </c>
      <c r="L651" t="s">
        <v>74</v>
      </c>
      <c r="M651" t="s">
        <v>77</v>
      </c>
      <c r="N651" t="s">
        <v>78</v>
      </c>
      <c r="O651" t="s">
        <v>74</v>
      </c>
      <c r="P651" t="s">
        <v>74</v>
      </c>
      <c r="Q651" t="s">
        <v>74</v>
      </c>
      <c r="R651" t="s">
        <v>74</v>
      </c>
      <c r="S651" t="s">
        <v>74</v>
      </c>
      <c r="T651" t="s">
        <v>74</v>
      </c>
      <c r="U651" t="s">
        <v>8812</v>
      </c>
      <c r="V651" t="s">
        <v>8813</v>
      </c>
      <c r="W651" t="s">
        <v>6759</v>
      </c>
      <c r="X651" t="s">
        <v>2468</v>
      </c>
      <c r="Y651" t="s">
        <v>8814</v>
      </c>
      <c r="Z651" t="s">
        <v>74</v>
      </c>
      <c r="AA651" t="s">
        <v>8815</v>
      </c>
      <c r="AB651" t="s">
        <v>74</v>
      </c>
      <c r="AC651" t="s">
        <v>74</v>
      </c>
      <c r="AD651" t="s">
        <v>74</v>
      </c>
      <c r="AE651" t="s">
        <v>74</v>
      </c>
      <c r="AF651" t="s">
        <v>74</v>
      </c>
      <c r="AG651">
        <v>23</v>
      </c>
      <c r="AH651">
        <v>0</v>
      </c>
      <c r="AI651">
        <v>0</v>
      </c>
      <c r="AJ651">
        <v>0</v>
      </c>
      <c r="AK651">
        <v>0</v>
      </c>
      <c r="AL651" t="s">
        <v>1025</v>
      </c>
      <c r="AM651" t="s">
        <v>1026</v>
      </c>
      <c r="AN651" t="s">
        <v>1027</v>
      </c>
      <c r="AO651" t="s">
        <v>1009</v>
      </c>
      <c r="AP651" t="s">
        <v>74</v>
      </c>
      <c r="AQ651" t="s">
        <v>74</v>
      </c>
      <c r="AR651" t="s">
        <v>1011</v>
      </c>
      <c r="AS651" t="s">
        <v>1012</v>
      </c>
      <c r="AT651" t="s">
        <v>8718</v>
      </c>
      <c r="AU651">
        <v>2000</v>
      </c>
      <c r="AV651">
        <v>40</v>
      </c>
      <c r="AW651">
        <v>5</v>
      </c>
      <c r="AX651" t="s">
        <v>74</v>
      </c>
      <c r="AY651" t="s">
        <v>74</v>
      </c>
      <c r="AZ651" t="s">
        <v>74</v>
      </c>
      <c r="BA651" t="s">
        <v>74</v>
      </c>
      <c r="BB651">
        <v>585</v>
      </c>
      <c r="BC651">
        <v>591</v>
      </c>
      <c r="BD651" t="s">
        <v>74</v>
      </c>
      <c r="BE651" t="s">
        <v>74</v>
      </c>
      <c r="BF651" t="s">
        <v>74</v>
      </c>
      <c r="BG651" t="s">
        <v>74</v>
      </c>
      <c r="BH651" t="s">
        <v>74</v>
      </c>
      <c r="BI651">
        <v>7</v>
      </c>
      <c r="BJ651" t="s">
        <v>953</v>
      </c>
      <c r="BK651" t="s">
        <v>94</v>
      </c>
      <c r="BL651" t="s">
        <v>953</v>
      </c>
      <c r="BM651" t="s">
        <v>8816</v>
      </c>
      <c r="BN651" t="s">
        <v>74</v>
      </c>
      <c r="BO651" t="s">
        <v>74</v>
      </c>
      <c r="BP651" t="s">
        <v>74</v>
      </c>
      <c r="BQ651" t="s">
        <v>74</v>
      </c>
      <c r="BR651" t="s">
        <v>97</v>
      </c>
      <c r="BS651" t="s">
        <v>8817</v>
      </c>
      <c r="BT651" t="str">
        <f>HYPERLINK("https%3A%2F%2Fwww.webofscience.com%2Fwos%2Fwoscc%2Ffull-record%2FWOS:000165751800006","View Full Record in Web of Science")</f>
        <v>View Full Record in Web of Science</v>
      </c>
    </row>
    <row r="652" spans="1:72" x14ac:dyDescent="0.15">
      <c r="A652" t="s">
        <v>72</v>
      </c>
      <c r="B652" t="s">
        <v>8818</v>
      </c>
      <c r="C652" t="s">
        <v>74</v>
      </c>
      <c r="D652" t="s">
        <v>74</v>
      </c>
      <c r="E652" t="s">
        <v>74</v>
      </c>
      <c r="F652" t="s">
        <v>8818</v>
      </c>
      <c r="G652" t="s">
        <v>74</v>
      </c>
      <c r="H652" t="s">
        <v>74</v>
      </c>
      <c r="I652" t="s">
        <v>8819</v>
      </c>
      <c r="J652" t="s">
        <v>1053</v>
      </c>
      <c r="K652" t="s">
        <v>74</v>
      </c>
      <c r="L652" t="s">
        <v>74</v>
      </c>
      <c r="M652" t="s">
        <v>77</v>
      </c>
      <c r="N652" t="s">
        <v>78</v>
      </c>
      <c r="O652" t="s">
        <v>74</v>
      </c>
      <c r="P652" t="s">
        <v>74</v>
      </c>
      <c r="Q652" t="s">
        <v>74</v>
      </c>
      <c r="R652" t="s">
        <v>74</v>
      </c>
      <c r="S652" t="s">
        <v>74</v>
      </c>
      <c r="T652" t="s">
        <v>74</v>
      </c>
      <c r="U652" t="s">
        <v>8820</v>
      </c>
      <c r="V652" t="s">
        <v>8821</v>
      </c>
      <c r="W652" t="s">
        <v>2618</v>
      </c>
      <c r="X652" t="s">
        <v>2619</v>
      </c>
      <c r="Y652" t="s">
        <v>8822</v>
      </c>
      <c r="Z652" t="s">
        <v>8823</v>
      </c>
      <c r="AA652" t="s">
        <v>8824</v>
      </c>
      <c r="AB652" t="s">
        <v>8825</v>
      </c>
      <c r="AC652" t="s">
        <v>74</v>
      </c>
      <c r="AD652" t="s">
        <v>74</v>
      </c>
      <c r="AE652" t="s">
        <v>74</v>
      </c>
      <c r="AF652" t="s">
        <v>74</v>
      </c>
      <c r="AG652">
        <v>17</v>
      </c>
      <c r="AH652">
        <v>36</v>
      </c>
      <c r="AI652">
        <v>39</v>
      </c>
      <c r="AJ652">
        <v>0</v>
      </c>
      <c r="AK652">
        <v>3</v>
      </c>
      <c r="AL652" t="s">
        <v>1059</v>
      </c>
      <c r="AM652" t="s">
        <v>1060</v>
      </c>
      <c r="AN652" t="s">
        <v>1061</v>
      </c>
      <c r="AO652" t="s">
        <v>1062</v>
      </c>
      <c r="AP652" t="s">
        <v>74</v>
      </c>
      <c r="AQ652" t="s">
        <v>74</v>
      </c>
      <c r="AR652" t="s">
        <v>1063</v>
      </c>
      <c r="AS652" t="s">
        <v>1064</v>
      </c>
      <c r="AT652" t="s">
        <v>8826</v>
      </c>
      <c r="AU652">
        <v>2000</v>
      </c>
      <c r="AV652">
        <v>27</v>
      </c>
      <c r="AW652">
        <v>17</v>
      </c>
      <c r="AX652" t="s">
        <v>74</v>
      </c>
      <c r="AY652" t="s">
        <v>74</v>
      </c>
      <c r="AZ652" t="s">
        <v>74</v>
      </c>
      <c r="BA652" t="s">
        <v>74</v>
      </c>
      <c r="BB652">
        <v>2617</v>
      </c>
      <c r="BC652">
        <v>2620</v>
      </c>
      <c r="BD652" t="s">
        <v>74</v>
      </c>
      <c r="BE652" t="s">
        <v>8827</v>
      </c>
      <c r="BF652" t="str">
        <f>HYPERLINK("http://dx.doi.org/10.1029/2000GL011584","http://dx.doi.org/10.1029/2000GL011584")</f>
        <v>http://dx.doi.org/10.1029/2000GL011584</v>
      </c>
      <c r="BG652" t="s">
        <v>74</v>
      </c>
      <c r="BH652" t="s">
        <v>74</v>
      </c>
      <c r="BI652">
        <v>4</v>
      </c>
      <c r="BJ652" t="s">
        <v>595</v>
      </c>
      <c r="BK652" t="s">
        <v>94</v>
      </c>
      <c r="BL652" t="s">
        <v>597</v>
      </c>
      <c r="BM652" t="s">
        <v>8828</v>
      </c>
      <c r="BN652" t="s">
        <v>74</v>
      </c>
      <c r="BO652" t="s">
        <v>74</v>
      </c>
      <c r="BP652" t="s">
        <v>74</v>
      </c>
      <c r="BQ652" t="s">
        <v>74</v>
      </c>
      <c r="BR652" t="s">
        <v>97</v>
      </c>
      <c r="BS652" t="s">
        <v>8829</v>
      </c>
      <c r="BT652" t="str">
        <f>HYPERLINK("https%3A%2F%2Fwww.webofscience.com%2Fwos%2Fwoscc%2Ffull-record%2FWOS:000089254700008","View Full Record in Web of Science")</f>
        <v>View Full Record in Web of Science</v>
      </c>
    </row>
    <row r="653" spans="1:72" x14ac:dyDescent="0.15">
      <c r="A653" t="s">
        <v>72</v>
      </c>
      <c r="B653" t="s">
        <v>8830</v>
      </c>
      <c r="C653" t="s">
        <v>74</v>
      </c>
      <c r="D653" t="s">
        <v>74</v>
      </c>
      <c r="E653" t="s">
        <v>74</v>
      </c>
      <c r="F653" t="s">
        <v>8830</v>
      </c>
      <c r="G653" t="s">
        <v>74</v>
      </c>
      <c r="H653" t="s">
        <v>74</v>
      </c>
      <c r="I653" t="s">
        <v>8831</v>
      </c>
      <c r="J653" t="s">
        <v>1053</v>
      </c>
      <c r="K653" t="s">
        <v>74</v>
      </c>
      <c r="L653" t="s">
        <v>74</v>
      </c>
      <c r="M653" t="s">
        <v>77</v>
      </c>
      <c r="N653" t="s">
        <v>78</v>
      </c>
      <c r="O653" t="s">
        <v>74</v>
      </c>
      <c r="P653" t="s">
        <v>74</v>
      </c>
      <c r="Q653" t="s">
        <v>74</v>
      </c>
      <c r="R653" t="s">
        <v>74</v>
      </c>
      <c r="S653" t="s">
        <v>74</v>
      </c>
      <c r="T653" t="s">
        <v>74</v>
      </c>
      <c r="U653" t="s">
        <v>8832</v>
      </c>
      <c r="V653" t="s">
        <v>8833</v>
      </c>
      <c r="W653" t="s">
        <v>8834</v>
      </c>
      <c r="X653" t="s">
        <v>8835</v>
      </c>
      <c r="Y653" t="s">
        <v>8836</v>
      </c>
      <c r="Z653" t="s">
        <v>74</v>
      </c>
      <c r="AA653" t="s">
        <v>8837</v>
      </c>
      <c r="AB653" t="s">
        <v>8838</v>
      </c>
      <c r="AC653" t="s">
        <v>74</v>
      </c>
      <c r="AD653" t="s">
        <v>74</v>
      </c>
      <c r="AE653" t="s">
        <v>74</v>
      </c>
      <c r="AF653" t="s">
        <v>74</v>
      </c>
      <c r="AG653">
        <v>21</v>
      </c>
      <c r="AH653">
        <v>43</v>
      </c>
      <c r="AI653">
        <v>51</v>
      </c>
      <c r="AJ653">
        <v>0</v>
      </c>
      <c r="AK653">
        <v>5</v>
      </c>
      <c r="AL653" t="s">
        <v>1059</v>
      </c>
      <c r="AM653" t="s">
        <v>1060</v>
      </c>
      <c r="AN653" t="s">
        <v>1061</v>
      </c>
      <c r="AO653" t="s">
        <v>1062</v>
      </c>
      <c r="AP653" t="s">
        <v>74</v>
      </c>
      <c r="AQ653" t="s">
        <v>74</v>
      </c>
      <c r="AR653" t="s">
        <v>1063</v>
      </c>
      <c r="AS653" t="s">
        <v>1064</v>
      </c>
      <c r="AT653" t="s">
        <v>8826</v>
      </c>
      <c r="AU653">
        <v>2000</v>
      </c>
      <c r="AV653">
        <v>27</v>
      </c>
      <c r="AW653">
        <v>17</v>
      </c>
      <c r="AX653" t="s">
        <v>74</v>
      </c>
      <c r="AY653" t="s">
        <v>74</v>
      </c>
      <c r="AZ653" t="s">
        <v>74</v>
      </c>
      <c r="BA653" t="s">
        <v>74</v>
      </c>
      <c r="BB653">
        <v>2673</v>
      </c>
      <c r="BC653">
        <v>2676</v>
      </c>
      <c r="BD653" t="s">
        <v>74</v>
      </c>
      <c r="BE653" t="s">
        <v>8839</v>
      </c>
      <c r="BF653" t="str">
        <f>HYPERLINK("http://dx.doi.org/10.1029/1999GL011254","http://dx.doi.org/10.1029/1999GL011254")</f>
        <v>http://dx.doi.org/10.1029/1999GL011254</v>
      </c>
      <c r="BG653" t="s">
        <v>74</v>
      </c>
      <c r="BH653" t="s">
        <v>74</v>
      </c>
      <c r="BI653">
        <v>4</v>
      </c>
      <c r="BJ653" t="s">
        <v>595</v>
      </c>
      <c r="BK653" t="s">
        <v>94</v>
      </c>
      <c r="BL653" t="s">
        <v>597</v>
      </c>
      <c r="BM653" t="s">
        <v>8828</v>
      </c>
      <c r="BN653" t="s">
        <v>74</v>
      </c>
      <c r="BO653" t="s">
        <v>8840</v>
      </c>
      <c r="BP653" t="s">
        <v>74</v>
      </c>
      <c r="BQ653" t="s">
        <v>74</v>
      </c>
      <c r="BR653" t="s">
        <v>97</v>
      </c>
      <c r="BS653" t="s">
        <v>8841</v>
      </c>
      <c r="BT653" t="str">
        <f>HYPERLINK("https%3A%2F%2Fwww.webofscience.com%2Fwos%2Fwoscc%2Ffull-record%2FWOS:000089254700022","View Full Record in Web of Science")</f>
        <v>View Full Record in Web of Science</v>
      </c>
    </row>
    <row r="654" spans="1:72" x14ac:dyDescent="0.15">
      <c r="A654" t="s">
        <v>72</v>
      </c>
      <c r="B654" t="s">
        <v>8842</v>
      </c>
      <c r="C654" t="s">
        <v>74</v>
      </c>
      <c r="D654" t="s">
        <v>74</v>
      </c>
      <c r="E654" t="s">
        <v>74</v>
      </c>
      <c r="F654" t="s">
        <v>8842</v>
      </c>
      <c r="G654" t="s">
        <v>74</v>
      </c>
      <c r="H654" t="s">
        <v>74</v>
      </c>
      <c r="I654" t="s">
        <v>8843</v>
      </c>
      <c r="J654" t="s">
        <v>1053</v>
      </c>
      <c r="K654" t="s">
        <v>74</v>
      </c>
      <c r="L654" t="s">
        <v>74</v>
      </c>
      <c r="M654" t="s">
        <v>77</v>
      </c>
      <c r="N654" t="s">
        <v>78</v>
      </c>
      <c r="O654" t="s">
        <v>74</v>
      </c>
      <c r="P654" t="s">
        <v>74</v>
      </c>
      <c r="Q654" t="s">
        <v>74</v>
      </c>
      <c r="R654" t="s">
        <v>74</v>
      </c>
      <c r="S654" t="s">
        <v>74</v>
      </c>
      <c r="T654" t="s">
        <v>74</v>
      </c>
      <c r="U654" t="s">
        <v>8844</v>
      </c>
      <c r="V654" t="s">
        <v>8845</v>
      </c>
      <c r="W654" t="s">
        <v>8846</v>
      </c>
      <c r="X654" t="s">
        <v>8847</v>
      </c>
      <c r="Y654" t="s">
        <v>8848</v>
      </c>
      <c r="Z654" t="s">
        <v>8849</v>
      </c>
      <c r="AA654" t="s">
        <v>8850</v>
      </c>
      <c r="AB654" t="s">
        <v>8851</v>
      </c>
      <c r="AC654" t="s">
        <v>74</v>
      </c>
      <c r="AD654" t="s">
        <v>74</v>
      </c>
      <c r="AE654" t="s">
        <v>74</v>
      </c>
      <c r="AF654" t="s">
        <v>74</v>
      </c>
      <c r="AG654">
        <v>21</v>
      </c>
      <c r="AH654">
        <v>33</v>
      </c>
      <c r="AI654">
        <v>35</v>
      </c>
      <c r="AJ654">
        <v>2</v>
      </c>
      <c r="AK654">
        <v>12</v>
      </c>
      <c r="AL654" t="s">
        <v>1059</v>
      </c>
      <c r="AM654" t="s">
        <v>1060</v>
      </c>
      <c r="AN654" t="s">
        <v>1061</v>
      </c>
      <c r="AO654" t="s">
        <v>1062</v>
      </c>
      <c r="AP654" t="s">
        <v>6772</v>
      </c>
      <c r="AQ654" t="s">
        <v>74</v>
      </c>
      <c r="AR654" t="s">
        <v>1063</v>
      </c>
      <c r="AS654" t="s">
        <v>1064</v>
      </c>
      <c r="AT654" t="s">
        <v>8826</v>
      </c>
      <c r="AU654">
        <v>2000</v>
      </c>
      <c r="AV654">
        <v>27</v>
      </c>
      <c r="AW654">
        <v>17</v>
      </c>
      <c r="AX654" t="s">
        <v>74</v>
      </c>
      <c r="AY654" t="s">
        <v>74</v>
      </c>
      <c r="AZ654" t="s">
        <v>74</v>
      </c>
      <c r="BA654" t="s">
        <v>74</v>
      </c>
      <c r="BB654">
        <v>2677</v>
      </c>
      <c r="BC654">
        <v>2680</v>
      </c>
      <c r="BD654" t="s">
        <v>74</v>
      </c>
      <c r="BE654" t="s">
        <v>8852</v>
      </c>
      <c r="BF654" t="str">
        <f>HYPERLINK("http://dx.doi.org/10.1029/2000GL011530","http://dx.doi.org/10.1029/2000GL011530")</f>
        <v>http://dx.doi.org/10.1029/2000GL011530</v>
      </c>
      <c r="BG654" t="s">
        <v>74</v>
      </c>
      <c r="BH654" t="s">
        <v>74</v>
      </c>
      <c r="BI654">
        <v>4</v>
      </c>
      <c r="BJ654" t="s">
        <v>595</v>
      </c>
      <c r="BK654" t="s">
        <v>94</v>
      </c>
      <c r="BL654" t="s">
        <v>597</v>
      </c>
      <c r="BM654" t="s">
        <v>8828</v>
      </c>
      <c r="BN654" t="s">
        <v>74</v>
      </c>
      <c r="BO654" t="s">
        <v>2097</v>
      </c>
      <c r="BP654" t="s">
        <v>74</v>
      </c>
      <c r="BQ654" t="s">
        <v>74</v>
      </c>
      <c r="BR654" t="s">
        <v>97</v>
      </c>
      <c r="BS654" t="s">
        <v>8853</v>
      </c>
      <c r="BT654" t="str">
        <f>HYPERLINK("https%3A%2F%2Fwww.webofscience.com%2Fwos%2Fwoscc%2Ffull-record%2FWOS:000089254700023","View Full Record in Web of Science")</f>
        <v>View Full Record in Web of Science</v>
      </c>
    </row>
    <row r="655" spans="1:72" x14ac:dyDescent="0.15">
      <c r="A655" t="s">
        <v>72</v>
      </c>
      <c r="B655" t="s">
        <v>8854</v>
      </c>
      <c r="C655" t="s">
        <v>74</v>
      </c>
      <c r="D655" t="s">
        <v>74</v>
      </c>
      <c r="E655" t="s">
        <v>74</v>
      </c>
      <c r="F655" t="s">
        <v>8854</v>
      </c>
      <c r="G655" t="s">
        <v>74</v>
      </c>
      <c r="H655" t="s">
        <v>74</v>
      </c>
      <c r="I655" t="s">
        <v>8855</v>
      </c>
      <c r="J655" t="s">
        <v>1053</v>
      </c>
      <c r="K655" t="s">
        <v>74</v>
      </c>
      <c r="L655" t="s">
        <v>74</v>
      </c>
      <c r="M655" t="s">
        <v>77</v>
      </c>
      <c r="N655" t="s">
        <v>78</v>
      </c>
      <c r="O655" t="s">
        <v>74</v>
      </c>
      <c r="P655" t="s">
        <v>74</v>
      </c>
      <c r="Q655" t="s">
        <v>74</v>
      </c>
      <c r="R655" t="s">
        <v>74</v>
      </c>
      <c r="S655" t="s">
        <v>74</v>
      </c>
      <c r="T655" t="s">
        <v>74</v>
      </c>
      <c r="U655" t="s">
        <v>8856</v>
      </c>
      <c r="V655" t="s">
        <v>8857</v>
      </c>
      <c r="W655" t="s">
        <v>8858</v>
      </c>
      <c r="X655" t="s">
        <v>261</v>
      </c>
      <c r="Y655" t="s">
        <v>8859</v>
      </c>
      <c r="Z655" t="s">
        <v>74</v>
      </c>
      <c r="AA655" t="s">
        <v>74</v>
      </c>
      <c r="AB655" t="s">
        <v>74</v>
      </c>
      <c r="AC655" t="s">
        <v>74</v>
      </c>
      <c r="AD655" t="s">
        <v>74</v>
      </c>
      <c r="AE655" t="s">
        <v>74</v>
      </c>
      <c r="AF655" t="s">
        <v>74</v>
      </c>
      <c r="AG655">
        <v>23</v>
      </c>
      <c r="AH655">
        <v>11</v>
      </c>
      <c r="AI655">
        <v>12</v>
      </c>
      <c r="AJ655">
        <v>2</v>
      </c>
      <c r="AK655">
        <v>9</v>
      </c>
      <c r="AL655" t="s">
        <v>1059</v>
      </c>
      <c r="AM655" t="s">
        <v>1060</v>
      </c>
      <c r="AN655" t="s">
        <v>1061</v>
      </c>
      <c r="AO655" t="s">
        <v>1062</v>
      </c>
      <c r="AP655" t="s">
        <v>74</v>
      </c>
      <c r="AQ655" t="s">
        <v>74</v>
      </c>
      <c r="AR655" t="s">
        <v>1063</v>
      </c>
      <c r="AS655" t="s">
        <v>1064</v>
      </c>
      <c r="AT655" t="s">
        <v>8826</v>
      </c>
      <c r="AU655">
        <v>2000</v>
      </c>
      <c r="AV655">
        <v>27</v>
      </c>
      <c r="AW655">
        <v>17</v>
      </c>
      <c r="AX655" t="s">
        <v>74</v>
      </c>
      <c r="AY655" t="s">
        <v>74</v>
      </c>
      <c r="AZ655" t="s">
        <v>74</v>
      </c>
      <c r="BA655" t="s">
        <v>74</v>
      </c>
      <c r="BB655">
        <v>2721</v>
      </c>
      <c r="BC655">
        <v>2724</v>
      </c>
      <c r="BD655" t="s">
        <v>74</v>
      </c>
      <c r="BE655" t="s">
        <v>8860</v>
      </c>
      <c r="BF655" t="str">
        <f>HYPERLINK("http://dx.doi.org/10.1029/1999GL011034","http://dx.doi.org/10.1029/1999GL011034")</f>
        <v>http://dx.doi.org/10.1029/1999GL011034</v>
      </c>
      <c r="BG655" t="s">
        <v>74</v>
      </c>
      <c r="BH655" t="s">
        <v>74</v>
      </c>
      <c r="BI655">
        <v>4</v>
      </c>
      <c r="BJ655" t="s">
        <v>595</v>
      </c>
      <c r="BK655" t="s">
        <v>94</v>
      </c>
      <c r="BL655" t="s">
        <v>597</v>
      </c>
      <c r="BM655" t="s">
        <v>8828</v>
      </c>
      <c r="BN655" t="s">
        <v>74</v>
      </c>
      <c r="BO655" t="s">
        <v>2097</v>
      </c>
      <c r="BP655" t="s">
        <v>74</v>
      </c>
      <c r="BQ655" t="s">
        <v>74</v>
      </c>
      <c r="BR655" t="s">
        <v>97</v>
      </c>
      <c r="BS655" t="s">
        <v>8861</v>
      </c>
      <c r="BT655" t="str">
        <f>HYPERLINK("https%3A%2F%2Fwww.webofscience.com%2Fwos%2Fwoscc%2Ffull-record%2FWOS:000089254700034","View Full Record in Web of Science")</f>
        <v>View Full Record in Web of Science</v>
      </c>
    </row>
    <row r="656" spans="1:72" x14ac:dyDescent="0.15">
      <c r="A656" t="s">
        <v>72</v>
      </c>
      <c r="B656" t="s">
        <v>8862</v>
      </c>
      <c r="C656" t="s">
        <v>74</v>
      </c>
      <c r="D656" t="s">
        <v>74</v>
      </c>
      <c r="E656" t="s">
        <v>74</v>
      </c>
      <c r="F656" t="s">
        <v>8862</v>
      </c>
      <c r="G656" t="s">
        <v>74</v>
      </c>
      <c r="H656" t="s">
        <v>74</v>
      </c>
      <c r="I656" t="s">
        <v>8863</v>
      </c>
      <c r="J656" t="s">
        <v>5383</v>
      </c>
      <c r="K656" t="s">
        <v>74</v>
      </c>
      <c r="L656" t="s">
        <v>74</v>
      </c>
      <c r="M656" t="s">
        <v>77</v>
      </c>
      <c r="N656" t="s">
        <v>78</v>
      </c>
      <c r="O656" t="s">
        <v>74</v>
      </c>
      <c r="P656" t="s">
        <v>74</v>
      </c>
      <c r="Q656" t="s">
        <v>74</v>
      </c>
      <c r="R656" t="s">
        <v>74</v>
      </c>
      <c r="S656" t="s">
        <v>74</v>
      </c>
      <c r="T656" t="s">
        <v>74</v>
      </c>
      <c r="U656" t="s">
        <v>8864</v>
      </c>
      <c r="V656" t="s">
        <v>8865</v>
      </c>
      <c r="W656" t="s">
        <v>8866</v>
      </c>
      <c r="X656" t="s">
        <v>8867</v>
      </c>
      <c r="Y656" t="s">
        <v>8868</v>
      </c>
      <c r="Z656" t="s">
        <v>8869</v>
      </c>
      <c r="AA656" t="s">
        <v>8870</v>
      </c>
      <c r="AB656" t="s">
        <v>8871</v>
      </c>
      <c r="AC656" t="s">
        <v>74</v>
      </c>
      <c r="AD656" t="s">
        <v>74</v>
      </c>
      <c r="AE656" t="s">
        <v>74</v>
      </c>
      <c r="AF656" t="s">
        <v>74</v>
      </c>
      <c r="AG656">
        <v>66</v>
      </c>
      <c r="AH656">
        <v>95</v>
      </c>
      <c r="AI656">
        <v>115</v>
      </c>
      <c r="AJ656">
        <v>0</v>
      </c>
      <c r="AK656">
        <v>23</v>
      </c>
      <c r="AL656" t="s">
        <v>1059</v>
      </c>
      <c r="AM656" t="s">
        <v>1060</v>
      </c>
      <c r="AN656" t="s">
        <v>1061</v>
      </c>
      <c r="AO656" t="s">
        <v>5391</v>
      </c>
      <c r="AP656" t="s">
        <v>8872</v>
      </c>
      <c r="AQ656" t="s">
        <v>74</v>
      </c>
      <c r="AR656" t="s">
        <v>5392</v>
      </c>
      <c r="AS656" t="s">
        <v>5393</v>
      </c>
      <c r="AT656" t="s">
        <v>8459</v>
      </c>
      <c r="AU656">
        <v>2000</v>
      </c>
      <c r="AV656">
        <v>14</v>
      </c>
      <c r="AW656">
        <v>3</v>
      </c>
      <c r="AX656" t="s">
        <v>74</v>
      </c>
      <c r="AY656" t="s">
        <v>74</v>
      </c>
      <c r="AZ656" t="s">
        <v>74</v>
      </c>
      <c r="BA656" t="s">
        <v>74</v>
      </c>
      <c r="BB656">
        <v>851</v>
      </c>
      <c r="BC656">
        <v>861</v>
      </c>
      <c r="BD656" t="s">
        <v>74</v>
      </c>
      <c r="BE656" t="s">
        <v>8873</v>
      </c>
      <c r="BF656" t="str">
        <f>HYPERLINK("http://dx.doi.org/10.1029/1999GB001198","http://dx.doi.org/10.1029/1999GB001198")</f>
        <v>http://dx.doi.org/10.1029/1999GB001198</v>
      </c>
      <c r="BG656" t="s">
        <v>74</v>
      </c>
      <c r="BH656" t="s">
        <v>74</v>
      </c>
      <c r="BI656">
        <v>11</v>
      </c>
      <c r="BJ656" t="s">
        <v>5395</v>
      </c>
      <c r="BK656" t="s">
        <v>94</v>
      </c>
      <c r="BL656" t="s">
        <v>5396</v>
      </c>
      <c r="BM656" t="s">
        <v>8874</v>
      </c>
      <c r="BN656" t="s">
        <v>74</v>
      </c>
      <c r="BO656" t="s">
        <v>1755</v>
      </c>
      <c r="BP656" t="s">
        <v>74</v>
      </c>
      <c r="BQ656" t="s">
        <v>74</v>
      </c>
      <c r="BR656" t="s">
        <v>97</v>
      </c>
      <c r="BS656" t="s">
        <v>8875</v>
      </c>
      <c r="BT656" t="str">
        <f>HYPERLINK("https%3A%2F%2Fwww.webofscience.com%2Fwos%2Fwoscc%2Ffull-record%2FWOS:000089089000010","View Full Record in Web of Science")</f>
        <v>View Full Record in Web of Science</v>
      </c>
    </row>
    <row r="657" spans="1:72" x14ac:dyDescent="0.15">
      <c r="A657" t="s">
        <v>72</v>
      </c>
      <c r="B657" t="s">
        <v>8876</v>
      </c>
      <c r="C657" t="s">
        <v>74</v>
      </c>
      <c r="D657" t="s">
        <v>74</v>
      </c>
      <c r="E657" t="s">
        <v>74</v>
      </c>
      <c r="F657" t="s">
        <v>8876</v>
      </c>
      <c r="G657" t="s">
        <v>74</v>
      </c>
      <c r="H657" t="s">
        <v>74</v>
      </c>
      <c r="I657" t="s">
        <v>8877</v>
      </c>
      <c r="J657" t="s">
        <v>5383</v>
      </c>
      <c r="K657" t="s">
        <v>74</v>
      </c>
      <c r="L657" t="s">
        <v>74</v>
      </c>
      <c r="M657" t="s">
        <v>77</v>
      </c>
      <c r="N657" t="s">
        <v>78</v>
      </c>
      <c r="O657" t="s">
        <v>74</v>
      </c>
      <c r="P657" t="s">
        <v>74</v>
      </c>
      <c r="Q657" t="s">
        <v>74</v>
      </c>
      <c r="R657" t="s">
        <v>74</v>
      </c>
      <c r="S657" t="s">
        <v>74</v>
      </c>
      <c r="T657" t="s">
        <v>74</v>
      </c>
      <c r="U657" t="s">
        <v>8878</v>
      </c>
      <c r="V657" t="s">
        <v>8879</v>
      </c>
      <c r="W657" t="s">
        <v>8880</v>
      </c>
      <c r="X657" t="s">
        <v>8881</v>
      </c>
      <c r="Y657" t="s">
        <v>8882</v>
      </c>
      <c r="Z657" t="s">
        <v>8883</v>
      </c>
      <c r="AA657" t="s">
        <v>8884</v>
      </c>
      <c r="AB657" t="s">
        <v>8885</v>
      </c>
      <c r="AC657" t="s">
        <v>74</v>
      </c>
      <c r="AD657" t="s">
        <v>74</v>
      </c>
      <c r="AE657" t="s">
        <v>74</v>
      </c>
      <c r="AF657" t="s">
        <v>74</v>
      </c>
      <c r="AG657">
        <v>84</v>
      </c>
      <c r="AH657">
        <v>29</v>
      </c>
      <c r="AI657">
        <v>33</v>
      </c>
      <c r="AJ657">
        <v>1</v>
      </c>
      <c r="AK657">
        <v>11</v>
      </c>
      <c r="AL657" t="s">
        <v>1059</v>
      </c>
      <c r="AM657" t="s">
        <v>1060</v>
      </c>
      <c r="AN657" t="s">
        <v>1061</v>
      </c>
      <c r="AO657" t="s">
        <v>5391</v>
      </c>
      <c r="AP657" t="s">
        <v>8872</v>
      </c>
      <c r="AQ657" t="s">
        <v>74</v>
      </c>
      <c r="AR657" t="s">
        <v>5392</v>
      </c>
      <c r="AS657" t="s">
        <v>5393</v>
      </c>
      <c r="AT657" t="s">
        <v>8459</v>
      </c>
      <c r="AU657">
        <v>2000</v>
      </c>
      <c r="AV657">
        <v>14</v>
      </c>
      <c r="AW657">
        <v>3</v>
      </c>
      <c r="AX657" t="s">
        <v>74</v>
      </c>
      <c r="AY657" t="s">
        <v>74</v>
      </c>
      <c r="AZ657" t="s">
        <v>74</v>
      </c>
      <c r="BA657" t="s">
        <v>74</v>
      </c>
      <c r="BB657">
        <v>945</v>
      </c>
      <c r="BC657">
        <v>955</v>
      </c>
      <c r="BD657" t="s">
        <v>74</v>
      </c>
      <c r="BE657" t="s">
        <v>8886</v>
      </c>
      <c r="BF657" t="str">
        <f>HYPERLINK("http://dx.doi.org/10.1029/1998GB001102","http://dx.doi.org/10.1029/1998GB001102")</f>
        <v>http://dx.doi.org/10.1029/1998GB001102</v>
      </c>
      <c r="BG657" t="s">
        <v>74</v>
      </c>
      <c r="BH657" t="s">
        <v>74</v>
      </c>
      <c r="BI657">
        <v>11</v>
      </c>
      <c r="BJ657" t="s">
        <v>5395</v>
      </c>
      <c r="BK657" t="s">
        <v>94</v>
      </c>
      <c r="BL657" t="s">
        <v>5396</v>
      </c>
      <c r="BM657" t="s">
        <v>8874</v>
      </c>
      <c r="BN657" t="s">
        <v>74</v>
      </c>
      <c r="BO657" t="s">
        <v>1755</v>
      </c>
      <c r="BP657" t="s">
        <v>74</v>
      </c>
      <c r="BQ657" t="s">
        <v>74</v>
      </c>
      <c r="BR657" t="s">
        <v>97</v>
      </c>
      <c r="BS657" t="s">
        <v>8887</v>
      </c>
      <c r="BT657" t="str">
        <f>HYPERLINK("https%3A%2F%2Fwww.webofscience.com%2Fwos%2Fwoscc%2Ffull-record%2FWOS:000089089000017","View Full Record in Web of Science")</f>
        <v>View Full Record in Web of Science</v>
      </c>
    </row>
    <row r="658" spans="1:72" x14ac:dyDescent="0.15">
      <c r="A658" t="s">
        <v>72</v>
      </c>
      <c r="B658" t="s">
        <v>8888</v>
      </c>
      <c r="C658" t="s">
        <v>74</v>
      </c>
      <c r="D658" t="s">
        <v>74</v>
      </c>
      <c r="E658" t="s">
        <v>74</v>
      </c>
      <c r="F658" t="s">
        <v>8888</v>
      </c>
      <c r="G658" t="s">
        <v>74</v>
      </c>
      <c r="H658" t="s">
        <v>74</v>
      </c>
      <c r="I658" t="s">
        <v>8889</v>
      </c>
      <c r="J658" t="s">
        <v>5383</v>
      </c>
      <c r="K658" t="s">
        <v>74</v>
      </c>
      <c r="L658" t="s">
        <v>74</v>
      </c>
      <c r="M658" t="s">
        <v>77</v>
      </c>
      <c r="N658" t="s">
        <v>78</v>
      </c>
      <c r="O658" t="s">
        <v>74</v>
      </c>
      <c r="P658" t="s">
        <v>74</v>
      </c>
      <c r="Q658" t="s">
        <v>74</v>
      </c>
      <c r="R658" t="s">
        <v>74</v>
      </c>
      <c r="S658" t="s">
        <v>74</v>
      </c>
      <c r="T658" t="s">
        <v>74</v>
      </c>
      <c r="U658" t="s">
        <v>8890</v>
      </c>
      <c r="V658" t="s">
        <v>8891</v>
      </c>
      <c r="W658" t="s">
        <v>8892</v>
      </c>
      <c r="X658" t="s">
        <v>4725</v>
      </c>
      <c r="Y658" t="s">
        <v>8893</v>
      </c>
      <c r="Z658" t="s">
        <v>74</v>
      </c>
      <c r="AA658" t="s">
        <v>74</v>
      </c>
      <c r="AB658" t="s">
        <v>74</v>
      </c>
      <c r="AC658" t="s">
        <v>74</v>
      </c>
      <c r="AD658" t="s">
        <v>74</v>
      </c>
      <c r="AE658" t="s">
        <v>74</v>
      </c>
      <c r="AF658" t="s">
        <v>74</v>
      </c>
      <c r="AG658">
        <v>58</v>
      </c>
      <c r="AH658">
        <v>80</v>
      </c>
      <c r="AI658">
        <v>85</v>
      </c>
      <c r="AJ658">
        <v>1</v>
      </c>
      <c r="AK658">
        <v>23</v>
      </c>
      <c r="AL658" t="s">
        <v>1059</v>
      </c>
      <c r="AM658" t="s">
        <v>1060</v>
      </c>
      <c r="AN658" t="s">
        <v>1061</v>
      </c>
      <c r="AO658" t="s">
        <v>5391</v>
      </c>
      <c r="AP658" t="s">
        <v>74</v>
      </c>
      <c r="AQ658" t="s">
        <v>74</v>
      </c>
      <c r="AR658" t="s">
        <v>5392</v>
      </c>
      <c r="AS658" t="s">
        <v>5393</v>
      </c>
      <c r="AT658" t="s">
        <v>8459</v>
      </c>
      <c r="AU658">
        <v>2000</v>
      </c>
      <c r="AV658">
        <v>14</v>
      </c>
      <c r="AW658">
        <v>3</v>
      </c>
      <c r="AX658" t="s">
        <v>74</v>
      </c>
      <c r="AY658" t="s">
        <v>74</v>
      </c>
      <c r="AZ658" t="s">
        <v>74</v>
      </c>
      <c r="BA658" t="s">
        <v>74</v>
      </c>
      <c r="BB658">
        <v>957</v>
      </c>
      <c r="BC658">
        <v>977</v>
      </c>
      <c r="BD658" t="s">
        <v>74</v>
      </c>
      <c r="BE658" t="s">
        <v>8894</v>
      </c>
      <c r="BF658" t="str">
        <f>HYPERLINK("http://dx.doi.org/10.1029/1999GB001215","http://dx.doi.org/10.1029/1999GB001215")</f>
        <v>http://dx.doi.org/10.1029/1999GB001215</v>
      </c>
      <c r="BG658" t="s">
        <v>74</v>
      </c>
      <c r="BH658" t="s">
        <v>74</v>
      </c>
      <c r="BI658">
        <v>21</v>
      </c>
      <c r="BJ658" t="s">
        <v>5395</v>
      </c>
      <c r="BK658" t="s">
        <v>94</v>
      </c>
      <c r="BL658" t="s">
        <v>5396</v>
      </c>
      <c r="BM658" t="s">
        <v>8874</v>
      </c>
      <c r="BN658" t="s">
        <v>74</v>
      </c>
      <c r="BO658" t="s">
        <v>1755</v>
      </c>
      <c r="BP658" t="s">
        <v>74</v>
      </c>
      <c r="BQ658" t="s">
        <v>74</v>
      </c>
      <c r="BR658" t="s">
        <v>97</v>
      </c>
      <c r="BS658" t="s">
        <v>8895</v>
      </c>
      <c r="BT658" t="str">
        <f>HYPERLINK("https%3A%2F%2Fwww.webofscience.com%2Fwos%2Fwoscc%2Ffull-record%2FWOS:000089089000018","View Full Record in Web of Science")</f>
        <v>View Full Record in Web of Science</v>
      </c>
    </row>
    <row r="659" spans="1:72" x14ac:dyDescent="0.15">
      <c r="A659" t="s">
        <v>72</v>
      </c>
      <c r="B659" t="s">
        <v>8896</v>
      </c>
      <c r="C659" t="s">
        <v>74</v>
      </c>
      <c r="D659" t="s">
        <v>74</v>
      </c>
      <c r="E659" t="s">
        <v>74</v>
      </c>
      <c r="F659" t="s">
        <v>8896</v>
      </c>
      <c r="G659" t="s">
        <v>74</v>
      </c>
      <c r="H659" t="s">
        <v>74</v>
      </c>
      <c r="I659" t="s">
        <v>8897</v>
      </c>
      <c r="J659" t="s">
        <v>1245</v>
      </c>
      <c r="K659" t="s">
        <v>74</v>
      </c>
      <c r="L659" t="s">
        <v>74</v>
      </c>
      <c r="M659" t="s">
        <v>77</v>
      </c>
      <c r="N659" t="s">
        <v>78</v>
      </c>
      <c r="O659" t="s">
        <v>74</v>
      </c>
      <c r="P659" t="s">
        <v>74</v>
      </c>
      <c r="Q659" t="s">
        <v>74</v>
      </c>
      <c r="R659" t="s">
        <v>74</v>
      </c>
      <c r="S659" t="s">
        <v>74</v>
      </c>
      <c r="T659" t="s">
        <v>8898</v>
      </c>
      <c r="U659" t="s">
        <v>8899</v>
      </c>
      <c r="V659" t="s">
        <v>8900</v>
      </c>
      <c r="W659" t="s">
        <v>8901</v>
      </c>
      <c r="X659" t="s">
        <v>851</v>
      </c>
      <c r="Y659" t="s">
        <v>8902</v>
      </c>
      <c r="Z659" t="s">
        <v>74</v>
      </c>
      <c r="AA659" t="s">
        <v>74</v>
      </c>
      <c r="AB659" t="s">
        <v>74</v>
      </c>
      <c r="AC659" t="s">
        <v>74</v>
      </c>
      <c r="AD659" t="s">
        <v>74</v>
      </c>
      <c r="AE659" t="s">
        <v>74</v>
      </c>
      <c r="AF659" t="s">
        <v>74</v>
      </c>
      <c r="AG659">
        <v>24</v>
      </c>
      <c r="AH659">
        <v>6</v>
      </c>
      <c r="AI659">
        <v>7</v>
      </c>
      <c r="AJ659">
        <v>0</v>
      </c>
      <c r="AK659">
        <v>4</v>
      </c>
      <c r="AL659" t="s">
        <v>737</v>
      </c>
      <c r="AM659" t="s">
        <v>738</v>
      </c>
      <c r="AN659" t="s">
        <v>739</v>
      </c>
      <c r="AO659" t="s">
        <v>1254</v>
      </c>
      <c r="AP659" t="s">
        <v>74</v>
      </c>
      <c r="AQ659" t="s">
        <v>74</v>
      </c>
      <c r="AR659" t="s">
        <v>1245</v>
      </c>
      <c r="AS659" t="s">
        <v>1256</v>
      </c>
      <c r="AT659" t="s">
        <v>8459</v>
      </c>
      <c r="AU659">
        <v>2000</v>
      </c>
      <c r="AV659">
        <v>435</v>
      </c>
      <c r="AW659" t="s">
        <v>1257</v>
      </c>
      <c r="AX659" t="s">
        <v>74</v>
      </c>
      <c r="AY659" t="s">
        <v>74</v>
      </c>
      <c r="AZ659" t="s">
        <v>74</v>
      </c>
      <c r="BA659" t="s">
        <v>74</v>
      </c>
      <c r="BB659">
        <v>43</v>
      </c>
      <c r="BC659">
        <v>59</v>
      </c>
      <c r="BD659" t="s">
        <v>74</v>
      </c>
      <c r="BE659" t="s">
        <v>8903</v>
      </c>
      <c r="BF659" t="str">
        <f>HYPERLINK("http://dx.doi.org/10.1023/A:1004070919109","http://dx.doi.org/10.1023/A:1004070919109")</f>
        <v>http://dx.doi.org/10.1023/A:1004070919109</v>
      </c>
      <c r="BG659" t="s">
        <v>74</v>
      </c>
      <c r="BH659" t="s">
        <v>74</v>
      </c>
      <c r="BI659">
        <v>17</v>
      </c>
      <c r="BJ659" t="s">
        <v>1259</v>
      </c>
      <c r="BK659" t="s">
        <v>94</v>
      </c>
      <c r="BL659" t="s">
        <v>1259</v>
      </c>
      <c r="BM659" t="s">
        <v>8904</v>
      </c>
      <c r="BN659" t="s">
        <v>74</v>
      </c>
      <c r="BO659" t="s">
        <v>74</v>
      </c>
      <c r="BP659" t="s">
        <v>74</v>
      </c>
      <c r="BQ659" t="s">
        <v>74</v>
      </c>
      <c r="BR659" t="s">
        <v>97</v>
      </c>
      <c r="BS659" t="s">
        <v>8905</v>
      </c>
      <c r="BT659" t="str">
        <f>HYPERLINK("https%3A%2F%2Fwww.webofscience.com%2Fwos%2Fwoscc%2Ffull-record%2FWOS:000165253800005","View Full Record in Web of Science")</f>
        <v>View Full Record in Web of Science</v>
      </c>
    </row>
    <row r="660" spans="1:72" x14ac:dyDescent="0.15">
      <c r="A660" t="s">
        <v>72</v>
      </c>
      <c r="B660" t="s">
        <v>8906</v>
      </c>
      <c r="C660" t="s">
        <v>74</v>
      </c>
      <c r="D660" t="s">
        <v>74</v>
      </c>
      <c r="E660" t="s">
        <v>74</v>
      </c>
      <c r="F660" t="s">
        <v>8906</v>
      </c>
      <c r="G660" t="s">
        <v>74</v>
      </c>
      <c r="H660" t="s">
        <v>74</v>
      </c>
      <c r="I660" t="s">
        <v>8907</v>
      </c>
      <c r="J660" t="s">
        <v>8908</v>
      </c>
      <c r="K660" t="s">
        <v>74</v>
      </c>
      <c r="L660" t="s">
        <v>74</v>
      </c>
      <c r="M660" t="s">
        <v>77</v>
      </c>
      <c r="N660" t="s">
        <v>576</v>
      </c>
      <c r="O660" t="s">
        <v>8909</v>
      </c>
      <c r="P660" t="s">
        <v>8910</v>
      </c>
      <c r="Q660" t="s">
        <v>8911</v>
      </c>
      <c r="R660" t="s">
        <v>74</v>
      </c>
      <c r="S660" t="s">
        <v>74</v>
      </c>
      <c r="T660" t="s">
        <v>8912</v>
      </c>
      <c r="U660" t="s">
        <v>8913</v>
      </c>
      <c r="V660" t="s">
        <v>8914</v>
      </c>
      <c r="W660" t="s">
        <v>8915</v>
      </c>
      <c r="X660" t="s">
        <v>2129</v>
      </c>
      <c r="Y660" t="s">
        <v>8916</v>
      </c>
      <c r="Z660" t="s">
        <v>74</v>
      </c>
      <c r="AA660" t="s">
        <v>8917</v>
      </c>
      <c r="AB660" t="s">
        <v>8918</v>
      </c>
      <c r="AC660" t="s">
        <v>74</v>
      </c>
      <c r="AD660" t="s">
        <v>74</v>
      </c>
      <c r="AE660" t="s">
        <v>74</v>
      </c>
      <c r="AF660" t="s">
        <v>74</v>
      </c>
      <c r="AG660">
        <v>50</v>
      </c>
      <c r="AH660">
        <v>16</v>
      </c>
      <c r="AI660">
        <v>18</v>
      </c>
      <c r="AJ660">
        <v>0</v>
      </c>
      <c r="AK660">
        <v>7</v>
      </c>
      <c r="AL660" t="s">
        <v>8919</v>
      </c>
      <c r="AM660" t="s">
        <v>8920</v>
      </c>
      <c r="AN660" t="s">
        <v>8921</v>
      </c>
      <c r="AO660" t="s">
        <v>8922</v>
      </c>
      <c r="AP660" t="s">
        <v>8923</v>
      </c>
      <c r="AQ660" t="s">
        <v>74</v>
      </c>
      <c r="AR660" t="s">
        <v>8924</v>
      </c>
      <c r="AS660" t="s">
        <v>8925</v>
      </c>
      <c r="AT660" t="s">
        <v>8459</v>
      </c>
      <c r="AU660">
        <v>2000</v>
      </c>
      <c r="AV660">
        <v>38</v>
      </c>
      <c r="AW660">
        <v>5</v>
      </c>
      <c r="AX660">
        <v>1</v>
      </c>
      <c r="AY660" t="s">
        <v>74</v>
      </c>
      <c r="AZ660" t="s">
        <v>74</v>
      </c>
      <c r="BA660" t="s">
        <v>74</v>
      </c>
      <c r="BB660">
        <v>2333</v>
      </c>
      <c r="BC660">
        <v>2344</v>
      </c>
      <c r="BD660" t="s">
        <v>74</v>
      </c>
      <c r="BE660" t="s">
        <v>8926</v>
      </c>
      <c r="BF660" t="str">
        <f>HYPERLINK("http://dx.doi.org/10.1109/36.868890","http://dx.doi.org/10.1109/36.868890")</f>
        <v>http://dx.doi.org/10.1109/36.868890</v>
      </c>
      <c r="BG660" t="s">
        <v>74</v>
      </c>
      <c r="BH660" t="s">
        <v>74</v>
      </c>
      <c r="BI660">
        <v>12</v>
      </c>
      <c r="BJ660" t="s">
        <v>8927</v>
      </c>
      <c r="BK660" t="s">
        <v>2763</v>
      </c>
      <c r="BL660" t="s">
        <v>8928</v>
      </c>
      <c r="BM660" t="s">
        <v>8929</v>
      </c>
      <c r="BN660" t="s">
        <v>74</v>
      </c>
      <c r="BO660" t="s">
        <v>74</v>
      </c>
      <c r="BP660" t="s">
        <v>74</v>
      </c>
      <c r="BQ660" t="s">
        <v>74</v>
      </c>
      <c r="BR660" t="s">
        <v>97</v>
      </c>
      <c r="BS660" t="s">
        <v>8930</v>
      </c>
      <c r="BT660" t="str">
        <f>HYPERLINK("https%3A%2F%2Fwww.webofscience.com%2Fwos%2Fwoscc%2Ffull-record%2FWOS:000089510300025","View Full Record in Web of Science")</f>
        <v>View Full Record in Web of Science</v>
      </c>
    </row>
    <row r="661" spans="1:72" x14ac:dyDescent="0.15">
      <c r="A661" t="s">
        <v>72</v>
      </c>
      <c r="B661" t="s">
        <v>8931</v>
      </c>
      <c r="C661" t="s">
        <v>74</v>
      </c>
      <c r="D661" t="s">
        <v>74</v>
      </c>
      <c r="E661" t="s">
        <v>74</v>
      </c>
      <c r="F661" t="s">
        <v>8931</v>
      </c>
      <c r="G661" t="s">
        <v>74</v>
      </c>
      <c r="H661" t="s">
        <v>74</v>
      </c>
      <c r="I661" t="s">
        <v>8932</v>
      </c>
      <c r="J661" t="s">
        <v>8933</v>
      </c>
      <c r="K661" t="s">
        <v>74</v>
      </c>
      <c r="L661" t="s">
        <v>74</v>
      </c>
      <c r="M661" t="s">
        <v>77</v>
      </c>
      <c r="N661" t="s">
        <v>78</v>
      </c>
      <c r="O661" t="s">
        <v>74</v>
      </c>
      <c r="P661" t="s">
        <v>74</v>
      </c>
      <c r="Q661" t="s">
        <v>74</v>
      </c>
      <c r="R661" t="s">
        <v>74</v>
      </c>
      <c r="S661" t="s">
        <v>74</v>
      </c>
      <c r="T661" t="s">
        <v>8934</v>
      </c>
      <c r="U661" t="s">
        <v>8935</v>
      </c>
      <c r="V661" t="s">
        <v>8936</v>
      </c>
      <c r="W661" t="s">
        <v>8937</v>
      </c>
      <c r="X661" t="s">
        <v>8938</v>
      </c>
      <c r="Y661" t="s">
        <v>8939</v>
      </c>
      <c r="Z661" t="s">
        <v>74</v>
      </c>
      <c r="AA661" t="s">
        <v>8940</v>
      </c>
      <c r="AB661" t="s">
        <v>8941</v>
      </c>
      <c r="AC661" t="s">
        <v>74</v>
      </c>
      <c r="AD661" t="s">
        <v>74</v>
      </c>
      <c r="AE661" t="s">
        <v>74</v>
      </c>
      <c r="AF661" t="s">
        <v>74</v>
      </c>
      <c r="AG661">
        <v>34</v>
      </c>
      <c r="AH661">
        <v>131</v>
      </c>
      <c r="AI661">
        <v>140</v>
      </c>
      <c r="AJ661">
        <v>1</v>
      </c>
      <c r="AK661">
        <v>16</v>
      </c>
      <c r="AL661" t="s">
        <v>8942</v>
      </c>
      <c r="AM661" t="s">
        <v>4059</v>
      </c>
      <c r="AN661" t="s">
        <v>8943</v>
      </c>
      <c r="AO661" t="s">
        <v>8944</v>
      </c>
      <c r="AP661" t="s">
        <v>74</v>
      </c>
      <c r="AQ661" t="s">
        <v>74</v>
      </c>
      <c r="AR661" t="s">
        <v>8945</v>
      </c>
      <c r="AS661" t="s">
        <v>8946</v>
      </c>
      <c r="AT661" t="s">
        <v>8459</v>
      </c>
      <c r="AU661">
        <v>2000</v>
      </c>
      <c r="AV661">
        <v>50</v>
      </c>
      <c r="AW661" t="s">
        <v>74</v>
      </c>
      <c r="AX661">
        <v>5</v>
      </c>
      <c r="AY661" t="s">
        <v>74</v>
      </c>
      <c r="AZ661" t="s">
        <v>74</v>
      </c>
      <c r="BA661" t="s">
        <v>74</v>
      </c>
      <c r="BB661">
        <v>1741</v>
      </c>
      <c r="BC661">
        <v>1753</v>
      </c>
      <c r="BD661" t="s">
        <v>74</v>
      </c>
      <c r="BE661" t="s">
        <v>8947</v>
      </c>
      <c r="BF661" t="str">
        <f>HYPERLINK("http://dx.doi.org/10.1099/00207713-50-5-1741","http://dx.doi.org/10.1099/00207713-50-5-1741")</f>
        <v>http://dx.doi.org/10.1099/00207713-50-5-1741</v>
      </c>
      <c r="BG661" t="s">
        <v>74</v>
      </c>
      <c r="BH661" t="s">
        <v>74</v>
      </c>
      <c r="BI661">
        <v>13</v>
      </c>
      <c r="BJ661" t="s">
        <v>725</v>
      </c>
      <c r="BK661" t="s">
        <v>94</v>
      </c>
      <c r="BL661" t="s">
        <v>725</v>
      </c>
      <c r="BM661" t="s">
        <v>8948</v>
      </c>
      <c r="BN661">
        <v>11034482</v>
      </c>
      <c r="BO661" t="s">
        <v>1755</v>
      </c>
      <c r="BP661" t="s">
        <v>74</v>
      </c>
      <c r="BQ661" t="s">
        <v>74</v>
      </c>
      <c r="BR661" t="s">
        <v>97</v>
      </c>
      <c r="BS661" t="s">
        <v>8949</v>
      </c>
      <c r="BT661" t="str">
        <f>HYPERLINK("https%3A%2F%2Fwww.webofscience.com%2Fwos%2Fwoscc%2Ffull-record%2FWOS:000089717800005","View Full Record in Web of Science")</f>
        <v>View Full Record in Web of Science</v>
      </c>
    </row>
    <row r="662" spans="1:72" x14ac:dyDescent="0.15">
      <c r="A662" t="s">
        <v>72</v>
      </c>
      <c r="B662" t="s">
        <v>3372</v>
      </c>
      <c r="C662" t="s">
        <v>74</v>
      </c>
      <c r="D662" t="s">
        <v>74</v>
      </c>
      <c r="E662" t="s">
        <v>74</v>
      </c>
      <c r="F662" t="s">
        <v>3372</v>
      </c>
      <c r="G662" t="s">
        <v>74</v>
      </c>
      <c r="H662" t="s">
        <v>74</v>
      </c>
      <c r="I662" t="s">
        <v>8950</v>
      </c>
      <c r="J662" t="s">
        <v>8933</v>
      </c>
      <c r="K662" t="s">
        <v>74</v>
      </c>
      <c r="L662" t="s">
        <v>74</v>
      </c>
      <c r="M662" t="s">
        <v>77</v>
      </c>
      <c r="N662" t="s">
        <v>78</v>
      </c>
      <c r="O662" t="s">
        <v>74</v>
      </c>
      <c r="P662" t="s">
        <v>74</v>
      </c>
      <c r="Q662" t="s">
        <v>74</v>
      </c>
      <c r="R662" t="s">
        <v>74</v>
      </c>
      <c r="S662" t="s">
        <v>74</v>
      </c>
      <c r="T662" t="s">
        <v>8951</v>
      </c>
      <c r="U662" t="s">
        <v>8952</v>
      </c>
      <c r="V662" t="s">
        <v>8953</v>
      </c>
      <c r="W662" t="s">
        <v>8954</v>
      </c>
      <c r="X662" t="s">
        <v>1491</v>
      </c>
      <c r="Y662" t="s">
        <v>8955</v>
      </c>
      <c r="Z662" t="s">
        <v>74</v>
      </c>
      <c r="AA662" t="s">
        <v>8956</v>
      </c>
      <c r="AB662" t="s">
        <v>8957</v>
      </c>
      <c r="AC662" t="s">
        <v>74</v>
      </c>
      <c r="AD662" t="s">
        <v>74</v>
      </c>
      <c r="AE662" t="s">
        <v>74</v>
      </c>
      <c r="AF662" t="s">
        <v>74</v>
      </c>
      <c r="AG662">
        <v>21</v>
      </c>
      <c r="AH662">
        <v>800</v>
      </c>
      <c r="AI662">
        <v>803</v>
      </c>
      <c r="AJ662">
        <v>0</v>
      </c>
      <c r="AK662">
        <v>35</v>
      </c>
      <c r="AL662" t="s">
        <v>8942</v>
      </c>
      <c r="AM662" t="s">
        <v>4059</v>
      </c>
      <c r="AN662" t="s">
        <v>8943</v>
      </c>
      <c r="AO662" t="s">
        <v>8944</v>
      </c>
      <c r="AP662" t="s">
        <v>74</v>
      </c>
      <c r="AQ662" t="s">
        <v>74</v>
      </c>
      <c r="AR662" t="s">
        <v>8945</v>
      </c>
      <c r="AS662" t="s">
        <v>8946</v>
      </c>
      <c r="AT662" t="s">
        <v>8459</v>
      </c>
      <c r="AU662">
        <v>2000</v>
      </c>
      <c r="AV662">
        <v>50</v>
      </c>
      <c r="AW662" t="s">
        <v>74</v>
      </c>
      <c r="AX662">
        <v>5</v>
      </c>
      <c r="AY662" t="s">
        <v>74</v>
      </c>
      <c r="AZ662" t="s">
        <v>74</v>
      </c>
      <c r="BA662" t="s">
        <v>74</v>
      </c>
      <c r="BB662">
        <v>1861</v>
      </c>
      <c r="BC662">
        <v>1868</v>
      </c>
      <c r="BD662" t="s">
        <v>74</v>
      </c>
      <c r="BE662" t="s">
        <v>8958</v>
      </c>
      <c r="BF662" t="str">
        <f>HYPERLINK("http://dx.doi.org/10.1099/00207713-50-5-1861","http://dx.doi.org/10.1099/00207713-50-5-1861")</f>
        <v>http://dx.doi.org/10.1099/00207713-50-5-1861</v>
      </c>
      <c r="BG662" t="s">
        <v>74</v>
      </c>
      <c r="BH662" t="s">
        <v>74</v>
      </c>
      <c r="BI662">
        <v>8</v>
      </c>
      <c r="BJ662" t="s">
        <v>725</v>
      </c>
      <c r="BK662" t="s">
        <v>94</v>
      </c>
      <c r="BL662" t="s">
        <v>725</v>
      </c>
      <c r="BM662" t="s">
        <v>8948</v>
      </c>
      <c r="BN662">
        <v>11034497</v>
      </c>
      <c r="BO662" t="s">
        <v>1755</v>
      </c>
      <c r="BP662" t="s">
        <v>74</v>
      </c>
      <c r="BQ662" t="s">
        <v>74</v>
      </c>
      <c r="BR662" t="s">
        <v>97</v>
      </c>
      <c r="BS662" t="s">
        <v>8959</v>
      </c>
      <c r="BT662" t="str">
        <f>HYPERLINK("https%3A%2F%2Fwww.webofscience.com%2Fwos%2Fwoscc%2Ffull-record%2FWOS:000089717800020","View Full Record in Web of Science")</f>
        <v>View Full Record in Web of Science</v>
      </c>
    </row>
    <row r="663" spans="1:72" x14ac:dyDescent="0.15">
      <c r="A663" t="s">
        <v>72</v>
      </c>
      <c r="B663" t="s">
        <v>8960</v>
      </c>
      <c r="C663" t="s">
        <v>74</v>
      </c>
      <c r="D663" t="s">
        <v>74</v>
      </c>
      <c r="E663" t="s">
        <v>74</v>
      </c>
      <c r="F663" t="s">
        <v>8960</v>
      </c>
      <c r="G663" t="s">
        <v>74</v>
      </c>
      <c r="H663" t="s">
        <v>74</v>
      </c>
      <c r="I663" t="s">
        <v>8961</v>
      </c>
      <c r="J663" t="s">
        <v>1759</v>
      </c>
      <c r="K663" t="s">
        <v>74</v>
      </c>
      <c r="L663" t="s">
        <v>74</v>
      </c>
      <c r="M663" t="s">
        <v>77</v>
      </c>
      <c r="N663" t="s">
        <v>78</v>
      </c>
      <c r="O663" t="s">
        <v>74</v>
      </c>
      <c r="P663" t="s">
        <v>74</v>
      </c>
      <c r="Q663" t="s">
        <v>74</v>
      </c>
      <c r="R663" t="s">
        <v>74</v>
      </c>
      <c r="S663" t="s">
        <v>74</v>
      </c>
      <c r="T663" t="s">
        <v>74</v>
      </c>
      <c r="U663" t="s">
        <v>8962</v>
      </c>
      <c r="V663" t="s">
        <v>8963</v>
      </c>
      <c r="W663" t="s">
        <v>8964</v>
      </c>
      <c r="X663" t="s">
        <v>8965</v>
      </c>
      <c r="Y663" t="s">
        <v>8966</v>
      </c>
      <c r="Z663" t="s">
        <v>74</v>
      </c>
      <c r="AA663" t="s">
        <v>8967</v>
      </c>
      <c r="AB663" t="s">
        <v>8968</v>
      </c>
      <c r="AC663" t="s">
        <v>74</v>
      </c>
      <c r="AD663" t="s">
        <v>74</v>
      </c>
      <c r="AE663" t="s">
        <v>74</v>
      </c>
      <c r="AF663" t="s">
        <v>74</v>
      </c>
      <c r="AG663">
        <v>23</v>
      </c>
      <c r="AH663">
        <v>2</v>
      </c>
      <c r="AI663">
        <v>2</v>
      </c>
      <c r="AJ663">
        <v>0</v>
      </c>
      <c r="AK663">
        <v>3</v>
      </c>
      <c r="AL663" t="s">
        <v>1025</v>
      </c>
      <c r="AM663" t="s">
        <v>1026</v>
      </c>
      <c r="AN663" t="s">
        <v>1027</v>
      </c>
      <c r="AO663" t="s">
        <v>1766</v>
      </c>
      <c r="AP663" t="s">
        <v>74</v>
      </c>
      <c r="AQ663" t="s">
        <v>74</v>
      </c>
      <c r="AR663" t="s">
        <v>1767</v>
      </c>
      <c r="AS663" t="s">
        <v>1768</v>
      </c>
      <c r="AT663" t="s">
        <v>8718</v>
      </c>
      <c r="AU663">
        <v>2000</v>
      </c>
      <c r="AV663">
        <v>36</v>
      </c>
      <c r="AW663">
        <v>5</v>
      </c>
      <c r="AX663" t="s">
        <v>74</v>
      </c>
      <c r="AY663" t="s">
        <v>74</v>
      </c>
      <c r="AZ663" t="s">
        <v>74</v>
      </c>
      <c r="BA663" t="s">
        <v>74</v>
      </c>
      <c r="BB663">
        <v>587</v>
      </c>
      <c r="BC663">
        <v>596</v>
      </c>
      <c r="BD663" t="s">
        <v>74</v>
      </c>
      <c r="BE663" t="s">
        <v>74</v>
      </c>
      <c r="BF663" t="s">
        <v>74</v>
      </c>
      <c r="BG663" t="s">
        <v>74</v>
      </c>
      <c r="BH663" t="s">
        <v>74</v>
      </c>
      <c r="BI663">
        <v>10</v>
      </c>
      <c r="BJ663" t="s">
        <v>1769</v>
      </c>
      <c r="BK663" t="s">
        <v>94</v>
      </c>
      <c r="BL663" t="s">
        <v>1769</v>
      </c>
      <c r="BM663" t="s">
        <v>8969</v>
      </c>
      <c r="BN663" t="s">
        <v>74</v>
      </c>
      <c r="BO663" t="s">
        <v>74</v>
      </c>
      <c r="BP663" t="s">
        <v>74</v>
      </c>
      <c r="BQ663" t="s">
        <v>74</v>
      </c>
      <c r="BR663" t="s">
        <v>97</v>
      </c>
      <c r="BS663" t="s">
        <v>8970</v>
      </c>
      <c r="BT663" t="str">
        <f>HYPERLINK("https%3A%2F%2Fwww.webofscience.com%2Fwos%2Fwoscc%2Ffull-record%2FWOS:000089912800006","View Full Record in Web of Science")</f>
        <v>View Full Record in Web of Science</v>
      </c>
    </row>
    <row r="664" spans="1:72" x14ac:dyDescent="0.15">
      <c r="A664" t="s">
        <v>72</v>
      </c>
      <c r="B664" t="s">
        <v>8971</v>
      </c>
      <c r="C664" t="s">
        <v>74</v>
      </c>
      <c r="D664" t="s">
        <v>74</v>
      </c>
      <c r="E664" t="s">
        <v>74</v>
      </c>
      <c r="F664" t="s">
        <v>8971</v>
      </c>
      <c r="G664" t="s">
        <v>74</v>
      </c>
      <c r="H664" t="s">
        <v>74</v>
      </c>
      <c r="I664" t="s">
        <v>8972</v>
      </c>
      <c r="J664" t="s">
        <v>1759</v>
      </c>
      <c r="K664" t="s">
        <v>74</v>
      </c>
      <c r="L664" t="s">
        <v>74</v>
      </c>
      <c r="M664" t="s">
        <v>77</v>
      </c>
      <c r="N664" t="s">
        <v>78</v>
      </c>
      <c r="O664" t="s">
        <v>74</v>
      </c>
      <c r="P664" t="s">
        <v>74</v>
      </c>
      <c r="Q664" t="s">
        <v>74</v>
      </c>
      <c r="R664" t="s">
        <v>74</v>
      </c>
      <c r="S664" t="s">
        <v>74</v>
      </c>
      <c r="T664" t="s">
        <v>74</v>
      </c>
      <c r="U664" t="s">
        <v>74</v>
      </c>
      <c r="V664" t="s">
        <v>8973</v>
      </c>
      <c r="W664" t="s">
        <v>8974</v>
      </c>
      <c r="X664" t="s">
        <v>2468</v>
      </c>
      <c r="Y664" t="s">
        <v>8975</v>
      </c>
      <c r="Z664" t="s">
        <v>74</v>
      </c>
      <c r="AA664" t="s">
        <v>8976</v>
      </c>
      <c r="AB664" t="s">
        <v>8977</v>
      </c>
      <c r="AC664" t="s">
        <v>74</v>
      </c>
      <c r="AD664" t="s">
        <v>74</v>
      </c>
      <c r="AE664" t="s">
        <v>74</v>
      </c>
      <c r="AF664" t="s">
        <v>74</v>
      </c>
      <c r="AG664">
        <v>17</v>
      </c>
      <c r="AH664">
        <v>1</v>
      </c>
      <c r="AI664">
        <v>1</v>
      </c>
      <c r="AJ664">
        <v>0</v>
      </c>
      <c r="AK664">
        <v>1</v>
      </c>
      <c r="AL664" t="s">
        <v>1025</v>
      </c>
      <c r="AM664" t="s">
        <v>1026</v>
      </c>
      <c r="AN664" t="s">
        <v>1027</v>
      </c>
      <c r="AO664" t="s">
        <v>1766</v>
      </c>
      <c r="AP664" t="s">
        <v>74</v>
      </c>
      <c r="AQ664" t="s">
        <v>74</v>
      </c>
      <c r="AR664" t="s">
        <v>1767</v>
      </c>
      <c r="AS664" t="s">
        <v>1768</v>
      </c>
      <c r="AT664" t="s">
        <v>8718</v>
      </c>
      <c r="AU664">
        <v>2000</v>
      </c>
      <c r="AV664">
        <v>36</v>
      </c>
      <c r="AW664">
        <v>5</v>
      </c>
      <c r="AX664" t="s">
        <v>74</v>
      </c>
      <c r="AY664" t="s">
        <v>74</v>
      </c>
      <c r="AZ664" t="s">
        <v>74</v>
      </c>
      <c r="BA664" t="s">
        <v>74</v>
      </c>
      <c r="BB664">
        <v>635</v>
      </c>
      <c r="BC664">
        <v>644</v>
      </c>
      <c r="BD664" t="s">
        <v>74</v>
      </c>
      <c r="BE664" t="s">
        <v>74</v>
      </c>
      <c r="BF664" t="s">
        <v>74</v>
      </c>
      <c r="BG664" t="s">
        <v>74</v>
      </c>
      <c r="BH664" t="s">
        <v>74</v>
      </c>
      <c r="BI664">
        <v>10</v>
      </c>
      <c r="BJ664" t="s">
        <v>1769</v>
      </c>
      <c r="BK664" t="s">
        <v>94</v>
      </c>
      <c r="BL664" t="s">
        <v>1769</v>
      </c>
      <c r="BM664" t="s">
        <v>8969</v>
      </c>
      <c r="BN664" t="s">
        <v>74</v>
      </c>
      <c r="BO664" t="s">
        <v>74</v>
      </c>
      <c r="BP664" t="s">
        <v>74</v>
      </c>
      <c r="BQ664" t="s">
        <v>74</v>
      </c>
      <c r="BR664" t="s">
        <v>97</v>
      </c>
      <c r="BS664" t="s">
        <v>8978</v>
      </c>
      <c r="BT664" t="str">
        <f>HYPERLINK("https%3A%2F%2Fwww.webofscience.com%2Fwos%2Fwoscc%2Ffull-record%2FWOS:000089912800011","View Full Record in Web of Science")</f>
        <v>View Full Record in Web of Science</v>
      </c>
    </row>
    <row r="665" spans="1:72" x14ac:dyDescent="0.15">
      <c r="A665" t="s">
        <v>72</v>
      </c>
      <c r="B665" t="s">
        <v>8979</v>
      </c>
      <c r="C665" t="s">
        <v>74</v>
      </c>
      <c r="D665" t="s">
        <v>74</v>
      </c>
      <c r="E665" t="s">
        <v>74</v>
      </c>
      <c r="F665" t="s">
        <v>8979</v>
      </c>
      <c r="G665" t="s">
        <v>74</v>
      </c>
      <c r="H665" t="s">
        <v>74</v>
      </c>
      <c r="I665" t="s">
        <v>8980</v>
      </c>
      <c r="J665" t="s">
        <v>8981</v>
      </c>
      <c r="K665" t="s">
        <v>74</v>
      </c>
      <c r="L665" t="s">
        <v>74</v>
      </c>
      <c r="M665" t="s">
        <v>77</v>
      </c>
      <c r="N665" t="s">
        <v>78</v>
      </c>
      <c r="O665" t="s">
        <v>74</v>
      </c>
      <c r="P665" t="s">
        <v>74</v>
      </c>
      <c r="Q665" t="s">
        <v>74</v>
      </c>
      <c r="R665" t="s">
        <v>74</v>
      </c>
      <c r="S665" t="s">
        <v>74</v>
      </c>
      <c r="T665" t="s">
        <v>8982</v>
      </c>
      <c r="U665" t="s">
        <v>8983</v>
      </c>
      <c r="V665" t="s">
        <v>8984</v>
      </c>
      <c r="W665" t="s">
        <v>8985</v>
      </c>
      <c r="X665" t="s">
        <v>8986</v>
      </c>
      <c r="Y665" t="s">
        <v>8987</v>
      </c>
      <c r="Z665" t="s">
        <v>8988</v>
      </c>
      <c r="AA665" t="s">
        <v>74</v>
      </c>
      <c r="AB665" t="s">
        <v>74</v>
      </c>
      <c r="AC665" t="s">
        <v>74</v>
      </c>
      <c r="AD665" t="s">
        <v>74</v>
      </c>
      <c r="AE665" t="s">
        <v>74</v>
      </c>
      <c r="AF665" t="s">
        <v>74</v>
      </c>
      <c r="AG665">
        <v>71</v>
      </c>
      <c r="AH665">
        <v>125</v>
      </c>
      <c r="AI665">
        <v>134</v>
      </c>
      <c r="AJ665">
        <v>3</v>
      </c>
      <c r="AK665">
        <v>26</v>
      </c>
      <c r="AL665" t="s">
        <v>813</v>
      </c>
      <c r="AM665" t="s">
        <v>814</v>
      </c>
      <c r="AN665" t="s">
        <v>815</v>
      </c>
      <c r="AO665" t="s">
        <v>8989</v>
      </c>
      <c r="AP665" t="s">
        <v>8990</v>
      </c>
      <c r="AQ665" t="s">
        <v>74</v>
      </c>
      <c r="AR665" t="s">
        <v>8991</v>
      </c>
      <c r="AS665" t="s">
        <v>8992</v>
      </c>
      <c r="AT665" t="s">
        <v>8459</v>
      </c>
      <c r="AU665">
        <v>2000</v>
      </c>
      <c r="AV665">
        <v>69</v>
      </c>
      <c r="AW665">
        <v>5</v>
      </c>
      <c r="AX665" t="s">
        <v>74</v>
      </c>
      <c r="AY665" t="s">
        <v>74</v>
      </c>
      <c r="AZ665" t="s">
        <v>74</v>
      </c>
      <c r="BA665" t="s">
        <v>74</v>
      </c>
      <c r="BB665">
        <v>799</v>
      </c>
      <c r="BC665">
        <v>814</v>
      </c>
      <c r="BD665" t="s">
        <v>74</v>
      </c>
      <c r="BE665" t="s">
        <v>8993</v>
      </c>
      <c r="BF665" t="str">
        <f>HYPERLINK("http://dx.doi.org/10.1046/j.1365-2656.2000.00440.x","http://dx.doi.org/10.1046/j.1365-2656.2000.00440.x")</f>
        <v>http://dx.doi.org/10.1046/j.1365-2656.2000.00440.x</v>
      </c>
      <c r="BG665" t="s">
        <v>74</v>
      </c>
      <c r="BH665" t="s">
        <v>74</v>
      </c>
      <c r="BI665">
        <v>16</v>
      </c>
      <c r="BJ665" t="s">
        <v>4604</v>
      </c>
      <c r="BK665" t="s">
        <v>94</v>
      </c>
      <c r="BL665" t="s">
        <v>4605</v>
      </c>
      <c r="BM665" t="s">
        <v>8994</v>
      </c>
      <c r="BN665">
        <v>29313988</v>
      </c>
      <c r="BO665" t="s">
        <v>1755</v>
      </c>
      <c r="BP665" t="s">
        <v>74</v>
      </c>
      <c r="BQ665" t="s">
        <v>74</v>
      </c>
      <c r="BR665" t="s">
        <v>97</v>
      </c>
      <c r="BS665" t="s">
        <v>8995</v>
      </c>
      <c r="BT665" t="str">
        <f>HYPERLINK("https%3A%2F%2Fwww.webofscience.com%2Fwos%2Fwoscc%2Ffull-record%2FWOS:000089754900007","View Full Record in Web of Science")</f>
        <v>View Full Record in Web of Science</v>
      </c>
    </row>
    <row r="666" spans="1:72" x14ac:dyDescent="0.15">
      <c r="A666" t="s">
        <v>72</v>
      </c>
      <c r="B666" t="s">
        <v>8996</v>
      </c>
      <c r="C666" t="s">
        <v>74</v>
      </c>
      <c r="D666" t="s">
        <v>74</v>
      </c>
      <c r="E666" t="s">
        <v>74</v>
      </c>
      <c r="F666" t="s">
        <v>8996</v>
      </c>
      <c r="G666" t="s">
        <v>74</v>
      </c>
      <c r="H666" t="s">
        <v>74</v>
      </c>
      <c r="I666" t="s">
        <v>8997</v>
      </c>
      <c r="J666" t="s">
        <v>5466</v>
      </c>
      <c r="K666" t="s">
        <v>74</v>
      </c>
      <c r="L666" t="s">
        <v>74</v>
      </c>
      <c r="M666" t="s">
        <v>77</v>
      </c>
      <c r="N666" t="s">
        <v>78</v>
      </c>
      <c r="O666" t="s">
        <v>74</v>
      </c>
      <c r="P666" t="s">
        <v>74</v>
      </c>
      <c r="Q666" t="s">
        <v>74</v>
      </c>
      <c r="R666" t="s">
        <v>74</v>
      </c>
      <c r="S666" t="s">
        <v>74</v>
      </c>
      <c r="T666" t="s">
        <v>74</v>
      </c>
      <c r="U666" t="s">
        <v>8998</v>
      </c>
      <c r="V666" t="s">
        <v>8999</v>
      </c>
      <c r="W666" t="s">
        <v>9000</v>
      </c>
      <c r="X666" t="s">
        <v>9001</v>
      </c>
      <c r="Y666" t="s">
        <v>6768</v>
      </c>
      <c r="Z666" t="s">
        <v>9002</v>
      </c>
      <c r="AA666" t="s">
        <v>74</v>
      </c>
      <c r="AB666" t="s">
        <v>74</v>
      </c>
      <c r="AC666" t="s">
        <v>74</v>
      </c>
      <c r="AD666" t="s">
        <v>74</v>
      </c>
      <c r="AE666" t="s">
        <v>74</v>
      </c>
      <c r="AF666" t="s">
        <v>74</v>
      </c>
      <c r="AG666">
        <v>38</v>
      </c>
      <c r="AH666">
        <v>148</v>
      </c>
      <c r="AI666">
        <v>162</v>
      </c>
      <c r="AJ666">
        <v>0</v>
      </c>
      <c r="AK666">
        <v>37</v>
      </c>
      <c r="AL666" t="s">
        <v>813</v>
      </c>
      <c r="AM666" t="s">
        <v>814</v>
      </c>
      <c r="AN666" t="s">
        <v>815</v>
      </c>
      <c r="AO666" t="s">
        <v>5475</v>
      </c>
      <c r="AP666" t="s">
        <v>5476</v>
      </c>
      <c r="AQ666" t="s">
        <v>74</v>
      </c>
      <c r="AR666" t="s">
        <v>5477</v>
      </c>
      <c r="AS666" t="s">
        <v>5478</v>
      </c>
      <c r="AT666" t="s">
        <v>8459</v>
      </c>
      <c r="AU666">
        <v>2000</v>
      </c>
      <c r="AV666">
        <v>31</v>
      </c>
      <c r="AW666">
        <v>3</v>
      </c>
      <c r="AX666" t="s">
        <v>74</v>
      </c>
      <c r="AY666" t="s">
        <v>74</v>
      </c>
      <c r="AZ666" t="s">
        <v>74</v>
      </c>
      <c r="BA666" t="s">
        <v>74</v>
      </c>
      <c r="BB666">
        <v>278</v>
      </c>
      <c r="BC666">
        <v>286</v>
      </c>
      <c r="BD666" t="s">
        <v>74</v>
      </c>
      <c r="BE666" t="s">
        <v>9003</v>
      </c>
      <c r="BF666" t="str">
        <f>HYPERLINK("http://dx.doi.org/10.1034/j.1600-048X.2000.310302.x","http://dx.doi.org/10.1034/j.1600-048X.2000.310302.x")</f>
        <v>http://dx.doi.org/10.1034/j.1600-048X.2000.310302.x</v>
      </c>
      <c r="BG666" t="s">
        <v>74</v>
      </c>
      <c r="BH666" t="s">
        <v>74</v>
      </c>
      <c r="BI666">
        <v>9</v>
      </c>
      <c r="BJ666" t="s">
        <v>675</v>
      </c>
      <c r="BK666" t="s">
        <v>94</v>
      </c>
      <c r="BL666" t="s">
        <v>206</v>
      </c>
      <c r="BM666" t="s">
        <v>9004</v>
      </c>
      <c r="BN666" t="s">
        <v>74</v>
      </c>
      <c r="BO666" t="s">
        <v>74</v>
      </c>
      <c r="BP666" t="s">
        <v>74</v>
      </c>
      <c r="BQ666" t="s">
        <v>74</v>
      </c>
      <c r="BR666" t="s">
        <v>97</v>
      </c>
      <c r="BS666" t="s">
        <v>9005</v>
      </c>
      <c r="BT666" t="str">
        <f>HYPERLINK("https%3A%2F%2Fwww.webofscience.com%2Fwos%2Fwoscc%2Ffull-record%2FWOS:000089783300002","View Full Record in Web of Science")</f>
        <v>View Full Record in Web of Science</v>
      </c>
    </row>
    <row r="667" spans="1:72" x14ac:dyDescent="0.15">
      <c r="A667" t="s">
        <v>72</v>
      </c>
      <c r="B667" t="s">
        <v>9006</v>
      </c>
      <c r="C667" t="s">
        <v>74</v>
      </c>
      <c r="D667" t="s">
        <v>74</v>
      </c>
      <c r="E667" t="s">
        <v>74</v>
      </c>
      <c r="F667" t="s">
        <v>9006</v>
      </c>
      <c r="G667" t="s">
        <v>74</v>
      </c>
      <c r="H667" t="s">
        <v>74</v>
      </c>
      <c r="I667" t="s">
        <v>9007</v>
      </c>
      <c r="J667" t="s">
        <v>5466</v>
      </c>
      <c r="K667" t="s">
        <v>74</v>
      </c>
      <c r="L667" t="s">
        <v>74</v>
      </c>
      <c r="M667" t="s">
        <v>77</v>
      </c>
      <c r="N667" t="s">
        <v>78</v>
      </c>
      <c r="O667" t="s">
        <v>74</v>
      </c>
      <c r="P667" t="s">
        <v>74</v>
      </c>
      <c r="Q667" t="s">
        <v>74</v>
      </c>
      <c r="R667" t="s">
        <v>74</v>
      </c>
      <c r="S667" t="s">
        <v>74</v>
      </c>
      <c r="T667" t="s">
        <v>74</v>
      </c>
      <c r="U667" t="s">
        <v>9008</v>
      </c>
      <c r="V667" t="s">
        <v>9009</v>
      </c>
      <c r="W667" t="s">
        <v>9010</v>
      </c>
      <c r="X667" t="s">
        <v>9011</v>
      </c>
      <c r="Y667" t="s">
        <v>9012</v>
      </c>
      <c r="Z667" t="s">
        <v>9013</v>
      </c>
      <c r="AA667" t="s">
        <v>74</v>
      </c>
      <c r="AB667" t="s">
        <v>9014</v>
      </c>
      <c r="AC667" t="s">
        <v>74</v>
      </c>
      <c r="AD667" t="s">
        <v>74</v>
      </c>
      <c r="AE667" t="s">
        <v>74</v>
      </c>
      <c r="AF667" t="s">
        <v>74</v>
      </c>
      <c r="AG667">
        <v>33</v>
      </c>
      <c r="AH667">
        <v>15</v>
      </c>
      <c r="AI667">
        <v>18</v>
      </c>
      <c r="AJ667">
        <v>0</v>
      </c>
      <c r="AK667">
        <v>12</v>
      </c>
      <c r="AL667" t="s">
        <v>813</v>
      </c>
      <c r="AM667" t="s">
        <v>814</v>
      </c>
      <c r="AN667" t="s">
        <v>815</v>
      </c>
      <c r="AO667" t="s">
        <v>5475</v>
      </c>
      <c r="AP667" t="s">
        <v>5476</v>
      </c>
      <c r="AQ667" t="s">
        <v>74</v>
      </c>
      <c r="AR667" t="s">
        <v>5477</v>
      </c>
      <c r="AS667" t="s">
        <v>5478</v>
      </c>
      <c r="AT667" t="s">
        <v>8459</v>
      </c>
      <c r="AU667">
        <v>2000</v>
      </c>
      <c r="AV667">
        <v>31</v>
      </c>
      <c r="AW667">
        <v>3</v>
      </c>
      <c r="AX667" t="s">
        <v>74</v>
      </c>
      <c r="AY667" t="s">
        <v>74</v>
      </c>
      <c r="AZ667" t="s">
        <v>74</v>
      </c>
      <c r="BA667" t="s">
        <v>74</v>
      </c>
      <c r="BB667">
        <v>287</v>
      </c>
      <c r="BC667">
        <v>294</v>
      </c>
      <c r="BD667" t="s">
        <v>74</v>
      </c>
      <c r="BE667" t="s">
        <v>9015</v>
      </c>
      <c r="BF667" t="str">
        <f>HYPERLINK("http://dx.doi.org/10.1034/j.1600-048X.2000.310303.x","http://dx.doi.org/10.1034/j.1600-048X.2000.310303.x")</f>
        <v>http://dx.doi.org/10.1034/j.1600-048X.2000.310303.x</v>
      </c>
      <c r="BG667" t="s">
        <v>74</v>
      </c>
      <c r="BH667" t="s">
        <v>74</v>
      </c>
      <c r="BI667">
        <v>8</v>
      </c>
      <c r="BJ667" t="s">
        <v>675</v>
      </c>
      <c r="BK667" t="s">
        <v>94</v>
      </c>
      <c r="BL667" t="s">
        <v>206</v>
      </c>
      <c r="BM667" t="s">
        <v>9004</v>
      </c>
      <c r="BN667" t="s">
        <v>74</v>
      </c>
      <c r="BO667" t="s">
        <v>74</v>
      </c>
      <c r="BP667" t="s">
        <v>74</v>
      </c>
      <c r="BQ667" t="s">
        <v>74</v>
      </c>
      <c r="BR667" t="s">
        <v>97</v>
      </c>
      <c r="BS667" t="s">
        <v>9016</v>
      </c>
      <c r="BT667" t="str">
        <f>HYPERLINK("https%3A%2F%2Fwww.webofscience.com%2Fwos%2Fwoscc%2Ffull-record%2FWOS:000089783300003","View Full Record in Web of Science")</f>
        <v>View Full Record in Web of Science</v>
      </c>
    </row>
    <row r="668" spans="1:72" x14ac:dyDescent="0.15">
      <c r="A668" t="s">
        <v>72</v>
      </c>
      <c r="B668" t="s">
        <v>9017</v>
      </c>
      <c r="C668" t="s">
        <v>74</v>
      </c>
      <c r="D668" t="s">
        <v>74</v>
      </c>
      <c r="E668" t="s">
        <v>74</v>
      </c>
      <c r="F668" t="s">
        <v>9017</v>
      </c>
      <c r="G668" t="s">
        <v>74</v>
      </c>
      <c r="H668" t="s">
        <v>74</v>
      </c>
      <c r="I668" t="s">
        <v>9018</v>
      </c>
      <c r="J668" t="s">
        <v>5466</v>
      </c>
      <c r="K668" t="s">
        <v>74</v>
      </c>
      <c r="L668" t="s">
        <v>74</v>
      </c>
      <c r="M668" t="s">
        <v>77</v>
      </c>
      <c r="N668" t="s">
        <v>78</v>
      </c>
      <c r="O668" t="s">
        <v>74</v>
      </c>
      <c r="P668" t="s">
        <v>74</v>
      </c>
      <c r="Q668" t="s">
        <v>74</v>
      </c>
      <c r="R668" t="s">
        <v>74</v>
      </c>
      <c r="S668" t="s">
        <v>74</v>
      </c>
      <c r="T668" t="s">
        <v>74</v>
      </c>
      <c r="U668" t="s">
        <v>9019</v>
      </c>
      <c r="V668" t="s">
        <v>9020</v>
      </c>
      <c r="W668" t="s">
        <v>885</v>
      </c>
      <c r="X668" t="s">
        <v>221</v>
      </c>
      <c r="Y668" t="s">
        <v>1280</v>
      </c>
      <c r="Z668" t="s">
        <v>9021</v>
      </c>
      <c r="AA668" t="s">
        <v>74</v>
      </c>
      <c r="AB668" t="s">
        <v>74</v>
      </c>
      <c r="AC668" t="s">
        <v>74</v>
      </c>
      <c r="AD668" t="s">
        <v>74</v>
      </c>
      <c r="AE668" t="s">
        <v>74</v>
      </c>
      <c r="AF668" t="s">
        <v>74</v>
      </c>
      <c r="AG668">
        <v>32</v>
      </c>
      <c r="AH668">
        <v>52</v>
      </c>
      <c r="AI668">
        <v>55</v>
      </c>
      <c r="AJ668">
        <v>0</v>
      </c>
      <c r="AK668">
        <v>19</v>
      </c>
      <c r="AL668" t="s">
        <v>813</v>
      </c>
      <c r="AM668" t="s">
        <v>814</v>
      </c>
      <c r="AN668" t="s">
        <v>815</v>
      </c>
      <c r="AO668" t="s">
        <v>5475</v>
      </c>
      <c r="AP668" t="s">
        <v>5476</v>
      </c>
      <c r="AQ668" t="s">
        <v>74</v>
      </c>
      <c r="AR668" t="s">
        <v>5477</v>
      </c>
      <c r="AS668" t="s">
        <v>5478</v>
      </c>
      <c r="AT668" t="s">
        <v>8459</v>
      </c>
      <c r="AU668">
        <v>2000</v>
      </c>
      <c r="AV668">
        <v>31</v>
      </c>
      <c r="AW668">
        <v>3</v>
      </c>
      <c r="AX668" t="s">
        <v>74</v>
      </c>
      <c r="AY668" t="s">
        <v>74</v>
      </c>
      <c r="AZ668" t="s">
        <v>74</v>
      </c>
      <c r="BA668" t="s">
        <v>74</v>
      </c>
      <c r="BB668">
        <v>303</v>
      </c>
      <c r="BC668">
        <v>311</v>
      </c>
      <c r="BD668" t="s">
        <v>74</v>
      </c>
      <c r="BE668" t="s">
        <v>9022</v>
      </c>
      <c r="BF668" t="str">
        <f>HYPERLINK("http://dx.doi.org/10.1034/j.1600-048X.2000.310305.x","http://dx.doi.org/10.1034/j.1600-048X.2000.310305.x")</f>
        <v>http://dx.doi.org/10.1034/j.1600-048X.2000.310305.x</v>
      </c>
      <c r="BG668" t="s">
        <v>74</v>
      </c>
      <c r="BH668" t="s">
        <v>74</v>
      </c>
      <c r="BI668">
        <v>9</v>
      </c>
      <c r="BJ668" t="s">
        <v>675</v>
      </c>
      <c r="BK668" t="s">
        <v>94</v>
      </c>
      <c r="BL668" t="s">
        <v>206</v>
      </c>
      <c r="BM668" t="s">
        <v>9004</v>
      </c>
      <c r="BN668" t="s">
        <v>74</v>
      </c>
      <c r="BO668" t="s">
        <v>74</v>
      </c>
      <c r="BP668" t="s">
        <v>74</v>
      </c>
      <c r="BQ668" t="s">
        <v>74</v>
      </c>
      <c r="BR668" t="s">
        <v>97</v>
      </c>
      <c r="BS668" t="s">
        <v>9023</v>
      </c>
      <c r="BT668" t="str">
        <f>HYPERLINK("https%3A%2F%2Fwww.webofscience.com%2Fwos%2Fwoscc%2Ffull-record%2FWOS:000089783300005","View Full Record in Web of Science")</f>
        <v>View Full Record in Web of Science</v>
      </c>
    </row>
    <row r="669" spans="1:72" x14ac:dyDescent="0.15">
      <c r="A669" t="s">
        <v>72</v>
      </c>
      <c r="B669" t="s">
        <v>9024</v>
      </c>
      <c r="C669" t="s">
        <v>74</v>
      </c>
      <c r="D669" t="s">
        <v>74</v>
      </c>
      <c r="E669" t="s">
        <v>74</v>
      </c>
      <c r="F669" t="s">
        <v>9024</v>
      </c>
      <c r="G669" t="s">
        <v>74</v>
      </c>
      <c r="H669" t="s">
        <v>74</v>
      </c>
      <c r="I669" t="s">
        <v>9025</v>
      </c>
      <c r="J669" t="s">
        <v>5466</v>
      </c>
      <c r="K669" t="s">
        <v>74</v>
      </c>
      <c r="L669" t="s">
        <v>74</v>
      </c>
      <c r="M669" t="s">
        <v>77</v>
      </c>
      <c r="N669" t="s">
        <v>78</v>
      </c>
      <c r="O669" t="s">
        <v>74</v>
      </c>
      <c r="P669" t="s">
        <v>74</v>
      </c>
      <c r="Q669" t="s">
        <v>74</v>
      </c>
      <c r="R669" t="s">
        <v>74</v>
      </c>
      <c r="S669" t="s">
        <v>74</v>
      </c>
      <c r="T669" t="s">
        <v>74</v>
      </c>
      <c r="U669" t="s">
        <v>74</v>
      </c>
      <c r="V669" t="s">
        <v>9026</v>
      </c>
      <c r="W669" t="s">
        <v>885</v>
      </c>
      <c r="X669" t="s">
        <v>221</v>
      </c>
      <c r="Y669" t="s">
        <v>7710</v>
      </c>
      <c r="Z669" t="s">
        <v>9027</v>
      </c>
      <c r="AA669" t="s">
        <v>74</v>
      </c>
      <c r="AB669" t="s">
        <v>74</v>
      </c>
      <c r="AC669" t="s">
        <v>74</v>
      </c>
      <c r="AD669" t="s">
        <v>74</v>
      </c>
      <c r="AE669" t="s">
        <v>74</v>
      </c>
      <c r="AF669" t="s">
        <v>74</v>
      </c>
      <c r="AG669">
        <v>16</v>
      </c>
      <c r="AH669">
        <v>25</v>
      </c>
      <c r="AI669">
        <v>27</v>
      </c>
      <c r="AJ669">
        <v>1</v>
      </c>
      <c r="AK669">
        <v>14</v>
      </c>
      <c r="AL669" t="s">
        <v>813</v>
      </c>
      <c r="AM669" t="s">
        <v>814</v>
      </c>
      <c r="AN669" t="s">
        <v>815</v>
      </c>
      <c r="AO669" t="s">
        <v>5475</v>
      </c>
      <c r="AP669" t="s">
        <v>5476</v>
      </c>
      <c r="AQ669" t="s">
        <v>74</v>
      </c>
      <c r="AR669" t="s">
        <v>5477</v>
      </c>
      <c r="AS669" t="s">
        <v>5478</v>
      </c>
      <c r="AT669" t="s">
        <v>8459</v>
      </c>
      <c r="AU669">
        <v>2000</v>
      </c>
      <c r="AV669">
        <v>31</v>
      </c>
      <c r="AW669">
        <v>3</v>
      </c>
      <c r="AX669" t="s">
        <v>74</v>
      </c>
      <c r="AY669" t="s">
        <v>74</v>
      </c>
      <c r="AZ669" t="s">
        <v>74</v>
      </c>
      <c r="BA669" t="s">
        <v>74</v>
      </c>
      <c r="BB669">
        <v>418</v>
      </c>
      <c r="BC669">
        <v>425</v>
      </c>
      <c r="BD669" t="s">
        <v>74</v>
      </c>
      <c r="BE669" t="s">
        <v>9028</v>
      </c>
      <c r="BF669" t="str">
        <f>HYPERLINK("http://dx.doi.org/10.1034/j.1600-048X.2000.310318.x","http://dx.doi.org/10.1034/j.1600-048X.2000.310318.x")</f>
        <v>http://dx.doi.org/10.1034/j.1600-048X.2000.310318.x</v>
      </c>
      <c r="BG669" t="s">
        <v>74</v>
      </c>
      <c r="BH669" t="s">
        <v>74</v>
      </c>
      <c r="BI669">
        <v>8</v>
      </c>
      <c r="BJ669" t="s">
        <v>675</v>
      </c>
      <c r="BK669" t="s">
        <v>94</v>
      </c>
      <c r="BL669" t="s">
        <v>206</v>
      </c>
      <c r="BM669" t="s">
        <v>9004</v>
      </c>
      <c r="BN669" t="s">
        <v>74</v>
      </c>
      <c r="BO669" t="s">
        <v>74</v>
      </c>
      <c r="BP669" t="s">
        <v>74</v>
      </c>
      <c r="BQ669" t="s">
        <v>74</v>
      </c>
      <c r="BR669" t="s">
        <v>97</v>
      </c>
      <c r="BS669" t="s">
        <v>9029</v>
      </c>
      <c r="BT669" t="str">
        <f>HYPERLINK("https%3A%2F%2Fwww.webofscience.com%2Fwos%2Fwoscc%2Ffull-record%2FWOS:000089783300018","View Full Record in Web of Science")</f>
        <v>View Full Record in Web of Science</v>
      </c>
    </row>
    <row r="670" spans="1:72" x14ac:dyDescent="0.15">
      <c r="A670" t="s">
        <v>72</v>
      </c>
      <c r="B670" t="s">
        <v>9030</v>
      </c>
      <c r="C670" t="s">
        <v>74</v>
      </c>
      <c r="D670" t="s">
        <v>74</v>
      </c>
      <c r="E670" t="s">
        <v>74</v>
      </c>
      <c r="F670" t="s">
        <v>9030</v>
      </c>
      <c r="G670" t="s">
        <v>74</v>
      </c>
      <c r="H670" t="s">
        <v>74</v>
      </c>
      <c r="I670" t="s">
        <v>9031</v>
      </c>
      <c r="J670" t="s">
        <v>1926</v>
      </c>
      <c r="K670" t="s">
        <v>74</v>
      </c>
      <c r="L670" t="s">
        <v>74</v>
      </c>
      <c r="M670" t="s">
        <v>77</v>
      </c>
      <c r="N670" t="s">
        <v>78</v>
      </c>
      <c r="O670" t="s">
        <v>74</v>
      </c>
      <c r="P670" t="s">
        <v>74</v>
      </c>
      <c r="Q670" t="s">
        <v>74</v>
      </c>
      <c r="R670" t="s">
        <v>74</v>
      </c>
      <c r="S670" t="s">
        <v>74</v>
      </c>
      <c r="T670" t="s">
        <v>9032</v>
      </c>
      <c r="U670" t="s">
        <v>9033</v>
      </c>
      <c r="V670" t="s">
        <v>9034</v>
      </c>
      <c r="W670" t="s">
        <v>9035</v>
      </c>
      <c r="X670" t="s">
        <v>1840</v>
      </c>
      <c r="Y670" t="s">
        <v>9036</v>
      </c>
      <c r="Z670" t="s">
        <v>9037</v>
      </c>
      <c r="AA670" t="s">
        <v>74</v>
      </c>
      <c r="AB670" t="s">
        <v>74</v>
      </c>
      <c r="AC670" t="s">
        <v>74</v>
      </c>
      <c r="AD670" t="s">
        <v>74</v>
      </c>
      <c r="AE670" t="s">
        <v>74</v>
      </c>
      <c r="AF670" t="s">
        <v>74</v>
      </c>
      <c r="AG670">
        <v>62</v>
      </c>
      <c r="AH670">
        <v>22</v>
      </c>
      <c r="AI670">
        <v>24</v>
      </c>
      <c r="AJ670">
        <v>0</v>
      </c>
      <c r="AK670">
        <v>4</v>
      </c>
      <c r="AL670" t="s">
        <v>813</v>
      </c>
      <c r="AM670" t="s">
        <v>814</v>
      </c>
      <c r="AN670" t="s">
        <v>815</v>
      </c>
      <c r="AO670" t="s">
        <v>1936</v>
      </c>
      <c r="AP670" t="s">
        <v>1937</v>
      </c>
      <c r="AQ670" t="s">
        <v>74</v>
      </c>
      <c r="AR670" t="s">
        <v>1938</v>
      </c>
      <c r="AS670" t="s">
        <v>1939</v>
      </c>
      <c r="AT670" t="s">
        <v>8459</v>
      </c>
      <c r="AU670">
        <v>2000</v>
      </c>
      <c r="AV670">
        <v>27</v>
      </c>
      <c r="AW670">
        <v>5</v>
      </c>
      <c r="AX670" t="s">
        <v>74</v>
      </c>
      <c r="AY670" t="s">
        <v>74</v>
      </c>
      <c r="AZ670" t="s">
        <v>74</v>
      </c>
      <c r="BA670" t="s">
        <v>74</v>
      </c>
      <c r="BB670">
        <v>1221</v>
      </c>
      <c r="BC670">
        <v>1229</v>
      </c>
      <c r="BD670" t="s">
        <v>74</v>
      </c>
      <c r="BE670" t="s">
        <v>9038</v>
      </c>
      <c r="BF670" t="str">
        <f>HYPERLINK("http://dx.doi.org/10.1046/j.1365-2699.2000.00490.x","http://dx.doi.org/10.1046/j.1365-2699.2000.00490.x")</f>
        <v>http://dx.doi.org/10.1046/j.1365-2699.2000.00490.x</v>
      </c>
      <c r="BG670" t="s">
        <v>74</v>
      </c>
      <c r="BH670" t="s">
        <v>74</v>
      </c>
      <c r="BI670">
        <v>9</v>
      </c>
      <c r="BJ670" t="s">
        <v>1941</v>
      </c>
      <c r="BK670" t="s">
        <v>94</v>
      </c>
      <c r="BL670" t="s">
        <v>1942</v>
      </c>
      <c r="BM670" t="s">
        <v>9039</v>
      </c>
      <c r="BN670" t="s">
        <v>74</v>
      </c>
      <c r="BO670" t="s">
        <v>74</v>
      </c>
      <c r="BP670" t="s">
        <v>74</v>
      </c>
      <c r="BQ670" t="s">
        <v>74</v>
      </c>
      <c r="BR670" t="s">
        <v>97</v>
      </c>
      <c r="BS670" t="s">
        <v>9040</v>
      </c>
      <c r="BT670" t="str">
        <f>HYPERLINK("https%3A%2F%2Fwww.webofscience.com%2Fwos%2Fwoscc%2Ffull-record%2FWOS:000166794800014","View Full Record in Web of Science")</f>
        <v>View Full Record in Web of Science</v>
      </c>
    </row>
    <row r="671" spans="1:72" x14ac:dyDescent="0.15">
      <c r="A671" t="s">
        <v>72</v>
      </c>
      <c r="B671" t="s">
        <v>9041</v>
      </c>
      <c r="C671" t="s">
        <v>74</v>
      </c>
      <c r="D671" t="s">
        <v>74</v>
      </c>
      <c r="E671" t="s">
        <v>74</v>
      </c>
      <c r="F671" t="s">
        <v>9041</v>
      </c>
      <c r="G671" t="s">
        <v>74</v>
      </c>
      <c r="H671" t="s">
        <v>74</v>
      </c>
      <c r="I671" t="s">
        <v>9042</v>
      </c>
      <c r="J671" t="s">
        <v>2125</v>
      </c>
      <c r="K671" t="s">
        <v>74</v>
      </c>
      <c r="L671" t="s">
        <v>74</v>
      </c>
      <c r="M671" t="s">
        <v>77</v>
      </c>
      <c r="N671" t="s">
        <v>78</v>
      </c>
      <c r="O671" t="s">
        <v>74</v>
      </c>
      <c r="P671" t="s">
        <v>74</v>
      </c>
      <c r="Q671" t="s">
        <v>74</v>
      </c>
      <c r="R671" t="s">
        <v>74</v>
      </c>
      <c r="S671" t="s">
        <v>74</v>
      </c>
      <c r="T671" t="s">
        <v>74</v>
      </c>
      <c r="U671" t="s">
        <v>9043</v>
      </c>
      <c r="V671" t="s">
        <v>9044</v>
      </c>
      <c r="W671" t="s">
        <v>9045</v>
      </c>
      <c r="X671" t="s">
        <v>9046</v>
      </c>
      <c r="Y671" t="s">
        <v>9047</v>
      </c>
      <c r="Z671" t="s">
        <v>9048</v>
      </c>
      <c r="AA671" t="s">
        <v>9049</v>
      </c>
      <c r="AB671" t="s">
        <v>74</v>
      </c>
      <c r="AC671" t="s">
        <v>74</v>
      </c>
      <c r="AD671" t="s">
        <v>74</v>
      </c>
      <c r="AE671" t="s">
        <v>74</v>
      </c>
      <c r="AF671" t="s">
        <v>74</v>
      </c>
      <c r="AG671">
        <v>80</v>
      </c>
      <c r="AH671">
        <v>217</v>
      </c>
      <c r="AI671">
        <v>241</v>
      </c>
      <c r="AJ671">
        <v>0</v>
      </c>
      <c r="AK671">
        <v>14</v>
      </c>
      <c r="AL671" t="s">
        <v>2132</v>
      </c>
      <c r="AM671" t="s">
        <v>2133</v>
      </c>
      <c r="AN671" t="s">
        <v>2134</v>
      </c>
      <c r="AO671" t="s">
        <v>2135</v>
      </c>
      <c r="AP671" t="s">
        <v>6897</v>
      </c>
      <c r="AQ671" t="s">
        <v>74</v>
      </c>
      <c r="AR671" t="s">
        <v>2136</v>
      </c>
      <c r="AS671" t="s">
        <v>2137</v>
      </c>
      <c r="AT671" t="s">
        <v>8459</v>
      </c>
      <c r="AU671">
        <v>2000</v>
      </c>
      <c r="AV671">
        <v>108</v>
      </c>
      <c r="AW671">
        <v>5</v>
      </c>
      <c r="AX671" t="s">
        <v>74</v>
      </c>
      <c r="AY671" t="s">
        <v>74</v>
      </c>
      <c r="AZ671" t="s">
        <v>74</v>
      </c>
      <c r="BA671" t="s">
        <v>74</v>
      </c>
      <c r="BB671">
        <v>499</v>
      </c>
      <c r="BC671">
        <v>513</v>
      </c>
      <c r="BD671" t="s">
        <v>74</v>
      </c>
      <c r="BE671" t="s">
        <v>9050</v>
      </c>
      <c r="BF671" t="str">
        <f>HYPERLINK("http://dx.doi.org/10.1086/314418","http://dx.doi.org/10.1086/314418")</f>
        <v>http://dx.doi.org/10.1086/314418</v>
      </c>
      <c r="BG671" t="s">
        <v>74</v>
      </c>
      <c r="BH671" t="s">
        <v>74</v>
      </c>
      <c r="BI671">
        <v>15</v>
      </c>
      <c r="BJ671" t="s">
        <v>597</v>
      </c>
      <c r="BK671" t="s">
        <v>94</v>
      </c>
      <c r="BL671" t="s">
        <v>597</v>
      </c>
      <c r="BM671" t="s">
        <v>9051</v>
      </c>
      <c r="BN671" t="s">
        <v>74</v>
      </c>
      <c r="BO671" t="s">
        <v>74</v>
      </c>
      <c r="BP671" t="s">
        <v>74</v>
      </c>
      <c r="BQ671" t="s">
        <v>74</v>
      </c>
      <c r="BR671" t="s">
        <v>97</v>
      </c>
      <c r="BS671" t="s">
        <v>9052</v>
      </c>
      <c r="BT671" t="str">
        <f>HYPERLINK("https%3A%2F%2Fwww.webofscience.com%2Fwos%2Fwoscc%2Ffull-record%2FWOS:000089267200001","View Full Record in Web of Science")</f>
        <v>View Full Record in Web of Science</v>
      </c>
    </row>
    <row r="672" spans="1:72" x14ac:dyDescent="0.15">
      <c r="A672" t="s">
        <v>72</v>
      </c>
      <c r="B672" t="s">
        <v>9053</v>
      </c>
      <c r="C672" t="s">
        <v>74</v>
      </c>
      <c r="D672" t="s">
        <v>74</v>
      </c>
      <c r="E672" t="s">
        <v>74</v>
      </c>
      <c r="F672" t="s">
        <v>9053</v>
      </c>
      <c r="G672" t="s">
        <v>74</v>
      </c>
      <c r="H672" t="s">
        <v>74</v>
      </c>
      <c r="I672" t="s">
        <v>9054</v>
      </c>
      <c r="J672" t="s">
        <v>2143</v>
      </c>
      <c r="K672" t="s">
        <v>74</v>
      </c>
      <c r="L672" t="s">
        <v>74</v>
      </c>
      <c r="M672" t="s">
        <v>77</v>
      </c>
      <c r="N672" t="s">
        <v>78</v>
      </c>
      <c r="O672" t="s">
        <v>74</v>
      </c>
      <c r="P672" t="s">
        <v>74</v>
      </c>
      <c r="Q672" t="s">
        <v>74</v>
      </c>
      <c r="R672" t="s">
        <v>74</v>
      </c>
      <c r="S672" t="s">
        <v>74</v>
      </c>
      <c r="T672" t="s">
        <v>74</v>
      </c>
      <c r="U672" t="s">
        <v>74</v>
      </c>
      <c r="V672" t="s">
        <v>9055</v>
      </c>
      <c r="W672" t="s">
        <v>9056</v>
      </c>
      <c r="X672" t="s">
        <v>9057</v>
      </c>
      <c r="Y672" t="s">
        <v>9058</v>
      </c>
      <c r="Z672" t="s">
        <v>9059</v>
      </c>
      <c r="AA672" t="s">
        <v>9060</v>
      </c>
      <c r="AB672" t="s">
        <v>9061</v>
      </c>
      <c r="AC672" t="s">
        <v>74</v>
      </c>
      <c r="AD672" t="s">
        <v>74</v>
      </c>
      <c r="AE672" t="s">
        <v>74</v>
      </c>
      <c r="AF672" t="s">
        <v>74</v>
      </c>
      <c r="AG672">
        <v>20</v>
      </c>
      <c r="AH672">
        <v>15</v>
      </c>
      <c r="AI672">
        <v>15</v>
      </c>
      <c r="AJ672">
        <v>0</v>
      </c>
      <c r="AK672">
        <v>1</v>
      </c>
      <c r="AL672" t="s">
        <v>1059</v>
      </c>
      <c r="AM672" t="s">
        <v>1060</v>
      </c>
      <c r="AN672" t="s">
        <v>1061</v>
      </c>
      <c r="AO672" t="s">
        <v>2150</v>
      </c>
      <c r="AP672" t="s">
        <v>2151</v>
      </c>
      <c r="AQ672" t="s">
        <v>74</v>
      </c>
      <c r="AR672" t="s">
        <v>2152</v>
      </c>
      <c r="AS672" t="s">
        <v>2153</v>
      </c>
      <c r="AT672" t="s">
        <v>8826</v>
      </c>
      <c r="AU672">
        <v>2000</v>
      </c>
      <c r="AV672">
        <v>105</v>
      </c>
      <c r="AW672" t="s">
        <v>9062</v>
      </c>
      <c r="AX672" t="s">
        <v>74</v>
      </c>
      <c r="AY672" t="s">
        <v>74</v>
      </c>
      <c r="AZ672" t="s">
        <v>74</v>
      </c>
      <c r="BA672" t="s">
        <v>74</v>
      </c>
      <c r="BB672">
        <v>21035</v>
      </c>
      <c r="BC672">
        <v>21045</v>
      </c>
      <c r="BD672" t="s">
        <v>74</v>
      </c>
      <c r="BE672" t="s">
        <v>9063</v>
      </c>
      <c r="BF672" t="str">
        <f>HYPERLINK("http://dx.doi.org/10.1029/2000JA900050","http://dx.doi.org/10.1029/2000JA900050")</f>
        <v>http://dx.doi.org/10.1029/2000JA900050</v>
      </c>
      <c r="BG672" t="s">
        <v>74</v>
      </c>
      <c r="BH672" t="s">
        <v>74</v>
      </c>
      <c r="BI672">
        <v>11</v>
      </c>
      <c r="BJ672" t="s">
        <v>909</v>
      </c>
      <c r="BK672" t="s">
        <v>94</v>
      </c>
      <c r="BL672" t="s">
        <v>909</v>
      </c>
      <c r="BM672" t="s">
        <v>9064</v>
      </c>
      <c r="BN672" t="s">
        <v>74</v>
      </c>
      <c r="BO672" t="s">
        <v>1755</v>
      </c>
      <c r="BP672" t="s">
        <v>74</v>
      </c>
      <c r="BQ672" t="s">
        <v>74</v>
      </c>
      <c r="BR672" t="s">
        <v>97</v>
      </c>
      <c r="BS672" t="s">
        <v>9065</v>
      </c>
      <c r="BT672" t="str">
        <f>HYPERLINK("https%3A%2F%2Fwww.webofscience.com%2Fwos%2Fwoscc%2Ffull-record%2FWOS:000089436200017","View Full Record in Web of Science")</f>
        <v>View Full Record in Web of Science</v>
      </c>
    </row>
    <row r="673" spans="1:72" x14ac:dyDescent="0.15">
      <c r="A673" t="s">
        <v>72</v>
      </c>
      <c r="B673" t="s">
        <v>9066</v>
      </c>
      <c r="C673" t="s">
        <v>74</v>
      </c>
      <c r="D673" t="s">
        <v>74</v>
      </c>
      <c r="E673" t="s">
        <v>74</v>
      </c>
      <c r="F673" t="s">
        <v>9066</v>
      </c>
      <c r="G673" t="s">
        <v>74</v>
      </c>
      <c r="H673" t="s">
        <v>74</v>
      </c>
      <c r="I673" t="s">
        <v>9067</v>
      </c>
      <c r="J673" t="s">
        <v>2143</v>
      </c>
      <c r="K673" t="s">
        <v>74</v>
      </c>
      <c r="L673" t="s">
        <v>74</v>
      </c>
      <c r="M673" t="s">
        <v>77</v>
      </c>
      <c r="N673" t="s">
        <v>78</v>
      </c>
      <c r="O673" t="s">
        <v>74</v>
      </c>
      <c r="P673" t="s">
        <v>74</v>
      </c>
      <c r="Q673" t="s">
        <v>74</v>
      </c>
      <c r="R673" t="s">
        <v>74</v>
      </c>
      <c r="S673" t="s">
        <v>74</v>
      </c>
      <c r="T673" t="s">
        <v>74</v>
      </c>
      <c r="U673" t="s">
        <v>9068</v>
      </c>
      <c r="V673" t="s">
        <v>9069</v>
      </c>
      <c r="W673" t="s">
        <v>9070</v>
      </c>
      <c r="X673" t="s">
        <v>9071</v>
      </c>
      <c r="Y673" t="s">
        <v>9072</v>
      </c>
      <c r="Z673" t="s">
        <v>9073</v>
      </c>
      <c r="AA673" t="s">
        <v>9074</v>
      </c>
      <c r="AB673" t="s">
        <v>9075</v>
      </c>
      <c r="AC673" t="s">
        <v>74</v>
      </c>
      <c r="AD673" t="s">
        <v>74</v>
      </c>
      <c r="AE673" t="s">
        <v>74</v>
      </c>
      <c r="AF673" t="s">
        <v>74</v>
      </c>
      <c r="AG673">
        <v>28</v>
      </c>
      <c r="AH673">
        <v>39</v>
      </c>
      <c r="AI673">
        <v>44</v>
      </c>
      <c r="AJ673">
        <v>0</v>
      </c>
      <c r="AK673">
        <v>1</v>
      </c>
      <c r="AL673" t="s">
        <v>1059</v>
      </c>
      <c r="AM673" t="s">
        <v>1060</v>
      </c>
      <c r="AN673" t="s">
        <v>1061</v>
      </c>
      <c r="AO673" t="s">
        <v>2150</v>
      </c>
      <c r="AP673" t="s">
        <v>2151</v>
      </c>
      <c r="AQ673" t="s">
        <v>74</v>
      </c>
      <c r="AR673" t="s">
        <v>2152</v>
      </c>
      <c r="AS673" t="s">
        <v>2153</v>
      </c>
      <c r="AT673" t="s">
        <v>8826</v>
      </c>
      <c r="AU673">
        <v>2000</v>
      </c>
      <c r="AV673">
        <v>105</v>
      </c>
      <c r="AW673" t="s">
        <v>9062</v>
      </c>
      <c r="AX673" t="s">
        <v>74</v>
      </c>
      <c r="AY673" t="s">
        <v>74</v>
      </c>
      <c r="AZ673" t="s">
        <v>74</v>
      </c>
      <c r="BA673" t="s">
        <v>74</v>
      </c>
      <c r="BB673">
        <v>21109</v>
      </c>
      <c r="BC673">
        <v>21118</v>
      </c>
      <c r="BD673" t="s">
        <v>74</v>
      </c>
      <c r="BE673" t="s">
        <v>9076</v>
      </c>
      <c r="BF673" t="str">
        <f>HYPERLINK("http://dx.doi.org/10.1029/2000JA900057","http://dx.doi.org/10.1029/2000JA900057")</f>
        <v>http://dx.doi.org/10.1029/2000JA900057</v>
      </c>
      <c r="BG673" t="s">
        <v>74</v>
      </c>
      <c r="BH673" t="s">
        <v>74</v>
      </c>
      <c r="BI673">
        <v>10</v>
      </c>
      <c r="BJ673" t="s">
        <v>909</v>
      </c>
      <c r="BK673" t="s">
        <v>94</v>
      </c>
      <c r="BL673" t="s">
        <v>909</v>
      </c>
      <c r="BM673" t="s">
        <v>9064</v>
      </c>
      <c r="BN673" t="s">
        <v>74</v>
      </c>
      <c r="BO673" t="s">
        <v>1755</v>
      </c>
      <c r="BP673" t="s">
        <v>74</v>
      </c>
      <c r="BQ673" t="s">
        <v>74</v>
      </c>
      <c r="BR673" t="s">
        <v>97</v>
      </c>
      <c r="BS673" t="s">
        <v>9077</v>
      </c>
      <c r="BT673" t="str">
        <f>HYPERLINK("https%3A%2F%2Fwww.webofscience.com%2Fwos%2Fwoscc%2Ffull-record%2FWOS:000089436200024","View Full Record in Web of Science")</f>
        <v>View Full Record in Web of Science</v>
      </c>
    </row>
    <row r="674" spans="1:72" x14ac:dyDescent="0.15">
      <c r="A674" t="s">
        <v>72</v>
      </c>
      <c r="B674" t="s">
        <v>9078</v>
      </c>
      <c r="C674" t="s">
        <v>74</v>
      </c>
      <c r="D674" t="s">
        <v>74</v>
      </c>
      <c r="E674" t="s">
        <v>74</v>
      </c>
      <c r="F674" t="s">
        <v>9078</v>
      </c>
      <c r="G674" t="s">
        <v>74</v>
      </c>
      <c r="H674" t="s">
        <v>74</v>
      </c>
      <c r="I674" t="s">
        <v>9079</v>
      </c>
      <c r="J674" t="s">
        <v>2387</v>
      </c>
      <c r="K674" t="s">
        <v>74</v>
      </c>
      <c r="L674" t="s">
        <v>74</v>
      </c>
      <c r="M674" t="s">
        <v>77</v>
      </c>
      <c r="N674" t="s">
        <v>78</v>
      </c>
      <c r="O674" t="s">
        <v>74</v>
      </c>
      <c r="P674" t="s">
        <v>74</v>
      </c>
      <c r="Q674" t="s">
        <v>74</v>
      </c>
      <c r="R674" t="s">
        <v>74</v>
      </c>
      <c r="S674" t="s">
        <v>74</v>
      </c>
      <c r="T674" t="s">
        <v>9080</v>
      </c>
      <c r="U674" t="s">
        <v>9081</v>
      </c>
      <c r="V674" t="s">
        <v>9082</v>
      </c>
      <c r="W674" t="s">
        <v>9083</v>
      </c>
      <c r="X674" t="s">
        <v>9084</v>
      </c>
      <c r="Y674" t="s">
        <v>8769</v>
      </c>
      <c r="Z674" t="s">
        <v>8770</v>
      </c>
      <c r="AA674" t="s">
        <v>9085</v>
      </c>
      <c r="AB674" t="s">
        <v>9086</v>
      </c>
      <c r="AC674" t="s">
        <v>74</v>
      </c>
      <c r="AD674" t="s">
        <v>74</v>
      </c>
      <c r="AE674" t="s">
        <v>74</v>
      </c>
      <c r="AF674" t="s">
        <v>74</v>
      </c>
      <c r="AG674">
        <v>77</v>
      </c>
      <c r="AH674">
        <v>34</v>
      </c>
      <c r="AI674">
        <v>38</v>
      </c>
      <c r="AJ674">
        <v>0</v>
      </c>
      <c r="AK674">
        <v>4</v>
      </c>
      <c r="AL674" t="s">
        <v>1823</v>
      </c>
      <c r="AM674" t="s">
        <v>1121</v>
      </c>
      <c r="AN674" t="s">
        <v>1824</v>
      </c>
      <c r="AO674" t="s">
        <v>2395</v>
      </c>
      <c r="AP674" t="s">
        <v>9087</v>
      </c>
      <c r="AQ674" t="s">
        <v>74</v>
      </c>
      <c r="AR674" t="s">
        <v>2396</v>
      </c>
      <c r="AS674" t="s">
        <v>2397</v>
      </c>
      <c r="AT674" t="s">
        <v>8459</v>
      </c>
      <c r="AU674">
        <v>2000</v>
      </c>
      <c r="AV674">
        <v>26</v>
      </c>
      <c r="AW674">
        <v>1</v>
      </c>
      <c r="AX674" t="s">
        <v>74</v>
      </c>
      <c r="AY674" t="s">
        <v>74</v>
      </c>
      <c r="AZ674" t="s">
        <v>74</v>
      </c>
      <c r="BA674" t="s">
        <v>74</v>
      </c>
      <c r="BB674">
        <v>75</v>
      </c>
      <c r="BC674">
        <v>95</v>
      </c>
      <c r="BD674" t="s">
        <v>74</v>
      </c>
      <c r="BE674" t="s">
        <v>9088</v>
      </c>
      <c r="BF674" t="str">
        <f>HYPERLINK("http://dx.doi.org/10.1016/S0924-7963(00)00041-5","http://dx.doi.org/10.1016/S0924-7963(00)00041-5")</f>
        <v>http://dx.doi.org/10.1016/S0924-7963(00)00041-5</v>
      </c>
      <c r="BG674" t="s">
        <v>74</v>
      </c>
      <c r="BH674" t="s">
        <v>74</v>
      </c>
      <c r="BI674">
        <v>21</v>
      </c>
      <c r="BJ674" t="s">
        <v>2399</v>
      </c>
      <c r="BK674" t="s">
        <v>94</v>
      </c>
      <c r="BL674" t="s">
        <v>2400</v>
      </c>
      <c r="BM674" t="s">
        <v>9089</v>
      </c>
      <c r="BN674" t="s">
        <v>74</v>
      </c>
      <c r="BO674" t="s">
        <v>74</v>
      </c>
      <c r="BP674" t="s">
        <v>74</v>
      </c>
      <c r="BQ674" t="s">
        <v>74</v>
      </c>
      <c r="BR674" t="s">
        <v>97</v>
      </c>
      <c r="BS674" t="s">
        <v>9090</v>
      </c>
      <c r="BT674" t="str">
        <f>HYPERLINK("https%3A%2F%2Fwww.webofscience.com%2Fwos%2Fwoscc%2Ffull-record%2FWOS:000089365200004","View Full Record in Web of Science")</f>
        <v>View Full Record in Web of Science</v>
      </c>
    </row>
    <row r="675" spans="1:72" x14ac:dyDescent="0.15">
      <c r="A675" t="s">
        <v>72</v>
      </c>
      <c r="B675" t="s">
        <v>2430</v>
      </c>
      <c r="C675" t="s">
        <v>74</v>
      </c>
      <c r="D675" t="s">
        <v>74</v>
      </c>
      <c r="E675" t="s">
        <v>74</v>
      </c>
      <c r="F675" t="s">
        <v>2430</v>
      </c>
      <c r="G675" t="s">
        <v>74</v>
      </c>
      <c r="H675" t="s">
        <v>74</v>
      </c>
      <c r="I675" t="s">
        <v>9091</v>
      </c>
      <c r="J675" t="s">
        <v>2417</v>
      </c>
      <c r="K675" t="s">
        <v>74</v>
      </c>
      <c r="L675" t="s">
        <v>74</v>
      </c>
      <c r="M675" t="s">
        <v>77</v>
      </c>
      <c r="N675" t="s">
        <v>78</v>
      </c>
      <c r="O675" t="s">
        <v>74</v>
      </c>
      <c r="P675" t="s">
        <v>74</v>
      </c>
      <c r="Q675" t="s">
        <v>74</v>
      </c>
      <c r="R675" t="s">
        <v>74</v>
      </c>
      <c r="S675" t="s">
        <v>74</v>
      </c>
      <c r="T675" t="s">
        <v>74</v>
      </c>
      <c r="U675" t="s">
        <v>9092</v>
      </c>
      <c r="V675" t="s">
        <v>9093</v>
      </c>
      <c r="W675" t="s">
        <v>9094</v>
      </c>
      <c r="X675" t="s">
        <v>9095</v>
      </c>
      <c r="Y675" t="s">
        <v>9096</v>
      </c>
      <c r="Z675" t="s">
        <v>74</v>
      </c>
      <c r="AA675" t="s">
        <v>2500</v>
      </c>
      <c r="AB675" t="s">
        <v>2501</v>
      </c>
      <c r="AC675" t="s">
        <v>74</v>
      </c>
      <c r="AD675" t="s">
        <v>74</v>
      </c>
      <c r="AE675" t="s">
        <v>74</v>
      </c>
      <c r="AF675" t="s">
        <v>74</v>
      </c>
      <c r="AG675">
        <v>70</v>
      </c>
      <c r="AH675">
        <v>46</v>
      </c>
      <c r="AI675">
        <v>52</v>
      </c>
      <c r="AJ675">
        <v>1</v>
      </c>
      <c r="AK675">
        <v>6</v>
      </c>
      <c r="AL675" t="s">
        <v>1842</v>
      </c>
      <c r="AM675" t="s">
        <v>1843</v>
      </c>
      <c r="AN675" t="s">
        <v>1844</v>
      </c>
      <c r="AO675" t="s">
        <v>2423</v>
      </c>
      <c r="AP675" t="s">
        <v>74</v>
      </c>
      <c r="AQ675" t="s">
        <v>74</v>
      </c>
      <c r="AR675" t="s">
        <v>2424</v>
      </c>
      <c r="AS675" t="s">
        <v>2425</v>
      </c>
      <c r="AT675" t="s">
        <v>8459</v>
      </c>
      <c r="AU675">
        <v>2000</v>
      </c>
      <c r="AV675">
        <v>30</v>
      </c>
      <c r="AW675">
        <v>9</v>
      </c>
      <c r="AX675" t="s">
        <v>74</v>
      </c>
      <c r="AY675" t="s">
        <v>74</v>
      </c>
      <c r="AZ675" t="s">
        <v>74</v>
      </c>
      <c r="BA675" t="s">
        <v>74</v>
      </c>
      <c r="BB675">
        <v>2320</v>
      </c>
      <c r="BC675">
        <v>2341</v>
      </c>
      <c r="BD675" t="s">
        <v>74</v>
      </c>
      <c r="BE675" t="s">
        <v>9097</v>
      </c>
      <c r="BF675" t="str">
        <f>HYPERLINK("http://dx.doi.org/10.1175/1520-0485(2000)030&lt;2320:EOAADF&gt;2.0.CO;2","http://dx.doi.org/10.1175/1520-0485(2000)030&lt;2320:EOAADF&gt;2.0.CO;2")</f>
        <v>http://dx.doi.org/10.1175/1520-0485(2000)030&lt;2320:EOAADF&gt;2.0.CO;2</v>
      </c>
      <c r="BG675" t="s">
        <v>74</v>
      </c>
      <c r="BH675" t="s">
        <v>74</v>
      </c>
      <c r="BI675">
        <v>22</v>
      </c>
      <c r="BJ675" t="s">
        <v>252</v>
      </c>
      <c r="BK675" t="s">
        <v>94</v>
      </c>
      <c r="BL675" t="s">
        <v>252</v>
      </c>
      <c r="BM675" t="s">
        <v>9098</v>
      </c>
      <c r="BN675" t="s">
        <v>74</v>
      </c>
      <c r="BO675" t="s">
        <v>1850</v>
      </c>
      <c r="BP675" t="s">
        <v>74</v>
      </c>
      <c r="BQ675" t="s">
        <v>74</v>
      </c>
      <c r="BR675" t="s">
        <v>97</v>
      </c>
      <c r="BS675" t="s">
        <v>9099</v>
      </c>
      <c r="BT675" t="str">
        <f>HYPERLINK("https%3A%2F%2Fwww.webofscience.com%2Fwos%2Fwoscc%2Ffull-record%2FWOS:000089732500011","View Full Record in Web of Science")</f>
        <v>View Full Record in Web of Science</v>
      </c>
    </row>
    <row r="676" spans="1:72" x14ac:dyDescent="0.15">
      <c r="A676" t="s">
        <v>72</v>
      </c>
      <c r="B676" t="s">
        <v>9100</v>
      </c>
      <c r="C676" t="s">
        <v>74</v>
      </c>
      <c r="D676" t="s">
        <v>74</v>
      </c>
      <c r="E676" t="s">
        <v>74</v>
      </c>
      <c r="F676" t="s">
        <v>9100</v>
      </c>
      <c r="G676" t="s">
        <v>74</v>
      </c>
      <c r="H676" t="s">
        <v>74</v>
      </c>
      <c r="I676" t="s">
        <v>9101</v>
      </c>
      <c r="J676" t="s">
        <v>9102</v>
      </c>
      <c r="K676" t="s">
        <v>74</v>
      </c>
      <c r="L676" t="s">
        <v>74</v>
      </c>
      <c r="M676" t="s">
        <v>77</v>
      </c>
      <c r="N676" t="s">
        <v>52</v>
      </c>
      <c r="O676" t="s">
        <v>74</v>
      </c>
      <c r="P676" t="s">
        <v>74</v>
      </c>
      <c r="Q676" t="s">
        <v>74</v>
      </c>
      <c r="R676" t="s">
        <v>74</v>
      </c>
      <c r="S676" t="s">
        <v>74</v>
      </c>
      <c r="T676" t="s">
        <v>74</v>
      </c>
      <c r="U676" t="s">
        <v>74</v>
      </c>
      <c r="V676" t="s">
        <v>74</v>
      </c>
      <c r="W676" t="s">
        <v>9103</v>
      </c>
      <c r="X676" t="s">
        <v>8242</v>
      </c>
      <c r="Y676" t="s">
        <v>74</v>
      </c>
      <c r="Z676" t="s">
        <v>74</v>
      </c>
      <c r="AA676" t="s">
        <v>74</v>
      </c>
      <c r="AB676" t="s">
        <v>74</v>
      </c>
      <c r="AC676" t="s">
        <v>74</v>
      </c>
      <c r="AD676" t="s">
        <v>74</v>
      </c>
      <c r="AE676" t="s">
        <v>74</v>
      </c>
      <c r="AF676" t="s">
        <v>74</v>
      </c>
      <c r="AG676">
        <v>2</v>
      </c>
      <c r="AH676">
        <v>0</v>
      </c>
      <c r="AI676">
        <v>0</v>
      </c>
      <c r="AJ676">
        <v>0</v>
      </c>
      <c r="AK676">
        <v>1</v>
      </c>
      <c r="AL676" t="s">
        <v>108</v>
      </c>
      <c r="AM676" t="s">
        <v>160</v>
      </c>
      <c r="AN676" t="s">
        <v>5086</v>
      </c>
      <c r="AO676" t="s">
        <v>9104</v>
      </c>
      <c r="AP676" t="s">
        <v>74</v>
      </c>
      <c r="AQ676" t="s">
        <v>74</v>
      </c>
      <c r="AR676" t="s">
        <v>9105</v>
      </c>
      <c r="AS676" t="s">
        <v>9106</v>
      </c>
      <c r="AT676" t="s">
        <v>8459</v>
      </c>
      <c r="AU676">
        <v>2000</v>
      </c>
      <c r="AV676">
        <v>527</v>
      </c>
      <c r="AW676" t="s">
        <v>74</v>
      </c>
      <c r="AX676" t="s">
        <v>74</v>
      </c>
      <c r="AY676" t="s">
        <v>1106</v>
      </c>
      <c r="AZ676" t="s">
        <v>74</v>
      </c>
      <c r="BA676" t="s">
        <v>74</v>
      </c>
      <c r="BB676" t="s">
        <v>9107</v>
      </c>
      <c r="BC676" t="s">
        <v>9108</v>
      </c>
      <c r="BD676" t="s">
        <v>74</v>
      </c>
      <c r="BE676" t="s">
        <v>74</v>
      </c>
      <c r="BF676" t="s">
        <v>74</v>
      </c>
      <c r="BG676" t="s">
        <v>74</v>
      </c>
      <c r="BH676" t="s">
        <v>74</v>
      </c>
      <c r="BI676">
        <v>2</v>
      </c>
      <c r="BJ676" t="s">
        <v>9109</v>
      </c>
      <c r="BK676" t="s">
        <v>94</v>
      </c>
      <c r="BL676" t="s">
        <v>9110</v>
      </c>
      <c r="BM676" t="s">
        <v>9111</v>
      </c>
      <c r="BN676" t="s">
        <v>74</v>
      </c>
      <c r="BO676" t="s">
        <v>74</v>
      </c>
      <c r="BP676" t="s">
        <v>74</v>
      </c>
      <c r="BQ676" t="s">
        <v>74</v>
      </c>
      <c r="BR676" t="s">
        <v>97</v>
      </c>
      <c r="BS676" t="s">
        <v>9112</v>
      </c>
      <c r="BT676" t="str">
        <f>HYPERLINK("https%3A%2F%2Fwww.webofscience.com%2Fwos%2Fwoscc%2Ffull-record%2FWOS:000089787600185","View Full Record in Web of Science")</f>
        <v>View Full Record in Web of Science</v>
      </c>
    </row>
    <row r="677" spans="1:72" x14ac:dyDescent="0.15">
      <c r="A677" t="s">
        <v>72</v>
      </c>
      <c r="B677" t="s">
        <v>9113</v>
      </c>
      <c r="C677" t="s">
        <v>74</v>
      </c>
      <c r="D677" t="s">
        <v>74</v>
      </c>
      <c r="E677" t="s">
        <v>74</v>
      </c>
      <c r="F677" t="s">
        <v>9113</v>
      </c>
      <c r="G677" t="s">
        <v>74</v>
      </c>
      <c r="H677" t="s">
        <v>74</v>
      </c>
      <c r="I677" t="s">
        <v>9114</v>
      </c>
      <c r="J677" t="s">
        <v>9115</v>
      </c>
      <c r="K677" t="s">
        <v>74</v>
      </c>
      <c r="L677" t="s">
        <v>74</v>
      </c>
      <c r="M677" t="s">
        <v>77</v>
      </c>
      <c r="N677" t="s">
        <v>78</v>
      </c>
      <c r="O677" t="s">
        <v>74</v>
      </c>
      <c r="P677" t="s">
        <v>74</v>
      </c>
      <c r="Q677" t="s">
        <v>74</v>
      </c>
      <c r="R677" t="s">
        <v>74</v>
      </c>
      <c r="S677" t="s">
        <v>74</v>
      </c>
      <c r="T677" t="s">
        <v>74</v>
      </c>
      <c r="U677" t="s">
        <v>9116</v>
      </c>
      <c r="V677" t="s">
        <v>9117</v>
      </c>
      <c r="W677" t="s">
        <v>9118</v>
      </c>
      <c r="X677" t="s">
        <v>9119</v>
      </c>
      <c r="Y677" t="s">
        <v>9120</v>
      </c>
      <c r="Z677" t="s">
        <v>74</v>
      </c>
      <c r="AA677" t="s">
        <v>9121</v>
      </c>
      <c r="AB677" t="s">
        <v>9122</v>
      </c>
      <c r="AC677" t="s">
        <v>74</v>
      </c>
      <c r="AD677" t="s">
        <v>74</v>
      </c>
      <c r="AE677" t="s">
        <v>74</v>
      </c>
      <c r="AF677" t="s">
        <v>74</v>
      </c>
      <c r="AG677">
        <v>18</v>
      </c>
      <c r="AH677">
        <v>30</v>
      </c>
      <c r="AI677">
        <v>31</v>
      </c>
      <c r="AJ677">
        <v>1</v>
      </c>
      <c r="AK677">
        <v>6</v>
      </c>
      <c r="AL677" t="s">
        <v>737</v>
      </c>
      <c r="AM677" t="s">
        <v>738</v>
      </c>
      <c r="AN677" t="s">
        <v>739</v>
      </c>
      <c r="AO677" t="s">
        <v>9123</v>
      </c>
      <c r="AP677" t="s">
        <v>74</v>
      </c>
      <c r="AQ677" t="s">
        <v>74</v>
      </c>
      <c r="AR677" t="s">
        <v>9124</v>
      </c>
      <c r="AS677" t="s">
        <v>9125</v>
      </c>
      <c r="AT677" t="s">
        <v>8459</v>
      </c>
      <c r="AU677">
        <v>2000</v>
      </c>
      <c r="AV677">
        <v>245</v>
      </c>
      <c r="AW677">
        <v>3</v>
      </c>
      <c r="AX677" t="s">
        <v>74</v>
      </c>
      <c r="AY677" t="s">
        <v>74</v>
      </c>
      <c r="AZ677" t="s">
        <v>74</v>
      </c>
      <c r="BA677" t="s">
        <v>74</v>
      </c>
      <c r="BB677">
        <v>527</v>
      </c>
      <c r="BC677">
        <v>537</v>
      </c>
      <c r="BD677" t="s">
        <v>74</v>
      </c>
      <c r="BE677" t="s">
        <v>9126</v>
      </c>
      <c r="BF677" t="str">
        <f>HYPERLINK("http://dx.doi.org/10.1023/A:1006748924639","http://dx.doi.org/10.1023/A:1006748924639")</f>
        <v>http://dx.doi.org/10.1023/A:1006748924639</v>
      </c>
      <c r="BG677" t="s">
        <v>74</v>
      </c>
      <c r="BH677" t="s">
        <v>74</v>
      </c>
      <c r="BI677">
        <v>11</v>
      </c>
      <c r="BJ677" t="s">
        <v>9127</v>
      </c>
      <c r="BK677" t="s">
        <v>94</v>
      </c>
      <c r="BL677" t="s">
        <v>9128</v>
      </c>
      <c r="BM677" t="s">
        <v>9129</v>
      </c>
      <c r="BN677" t="s">
        <v>74</v>
      </c>
      <c r="BO677" t="s">
        <v>74</v>
      </c>
      <c r="BP677" t="s">
        <v>74</v>
      </c>
      <c r="BQ677" t="s">
        <v>74</v>
      </c>
      <c r="BR677" t="s">
        <v>97</v>
      </c>
      <c r="BS677" t="s">
        <v>9130</v>
      </c>
      <c r="BT677" t="str">
        <f>HYPERLINK("https%3A%2F%2Fwww.webofscience.com%2Fwos%2Fwoscc%2Ffull-record%2FWOS:000089673500011","View Full Record in Web of Science")</f>
        <v>View Full Record in Web of Science</v>
      </c>
    </row>
    <row r="678" spans="1:72" x14ac:dyDescent="0.15">
      <c r="A678" t="s">
        <v>72</v>
      </c>
      <c r="B678" t="s">
        <v>9131</v>
      </c>
      <c r="C678" t="s">
        <v>74</v>
      </c>
      <c r="D678" t="s">
        <v>74</v>
      </c>
      <c r="E678" t="s">
        <v>74</v>
      </c>
      <c r="F678" t="s">
        <v>9131</v>
      </c>
      <c r="G678" t="s">
        <v>74</v>
      </c>
      <c r="H678" t="s">
        <v>74</v>
      </c>
      <c r="I678" t="s">
        <v>9132</v>
      </c>
      <c r="J678" t="s">
        <v>9133</v>
      </c>
      <c r="K678" t="s">
        <v>74</v>
      </c>
      <c r="L678" t="s">
        <v>74</v>
      </c>
      <c r="M678" t="s">
        <v>77</v>
      </c>
      <c r="N678" t="s">
        <v>78</v>
      </c>
      <c r="O678" t="s">
        <v>74</v>
      </c>
      <c r="P678" t="s">
        <v>74</v>
      </c>
      <c r="Q678" t="s">
        <v>74</v>
      </c>
      <c r="R678" t="s">
        <v>74</v>
      </c>
      <c r="S678" t="s">
        <v>74</v>
      </c>
      <c r="T678" t="s">
        <v>9134</v>
      </c>
      <c r="U678" t="s">
        <v>9135</v>
      </c>
      <c r="V678" t="s">
        <v>9136</v>
      </c>
      <c r="W678" t="s">
        <v>9137</v>
      </c>
      <c r="X678" t="s">
        <v>9138</v>
      </c>
      <c r="Y678" t="s">
        <v>9139</v>
      </c>
      <c r="Z678" t="s">
        <v>74</v>
      </c>
      <c r="AA678" t="s">
        <v>9140</v>
      </c>
      <c r="AB678" t="s">
        <v>9141</v>
      </c>
      <c r="AC678" t="s">
        <v>74</v>
      </c>
      <c r="AD678" t="s">
        <v>74</v>
      </c>
      <c r="AE678" t="s">
        <v>74</v>
      </c>
      <c r="AF678" t="s">
        <v>74</v>
      </c>
      <c r="AG678">
        <v>83</v>
      </c>
      <c r="AH678">
        <v>53</v>
      </c>
      <c r="AI678">
        <v>57</v>
      </c>
      <c r="AJ678">
        <v>3</v>
      </c>
      <c r="AK678">
        <v>12</v>
      </c>
      <c r="AL678" t="s">
        <v>108</v>
      </c>
      <c r="AM678" t="s">
        <v>160</v>
      </c>
      <c r="AN678" t="s">
        <v>5086</v>
      </c>
      <c r="AO678" t="s">
        <v>9142</v>
      </c>
      <c r="AP678" t="s">
        <v>74</v>
      </c>
      <c r="AQ678" t="s">
        <v>74</v>
      </c>
      <c r="AR678" t="s">
        <v>9143</v>
      </c>
      <c r="AS678" t="s">
        <v>9144</v>
      </c>
      <c r="AT678" t="s">
        <v>8459</v>
      </c>
      <c r="AU678">
        <v>2000</v>
      </c>
      <c r="AV678">
        <v>252</v>
      </c>
      <c r="AW678" t="s">
        <v>74</v>
      </c>
      <c r="AX678">
        <v>1</v>
      </c>
      <c r="AY678" t="s">
        <v>74</v>
      </c>
      <c r="AZ678" t="s">
        <v>74</v>
      </c>
      <c r="BA678" t="s">
        <v>74</v>
      </c>
      <c r="BB678">
        <v>41</v>
      </c>
      <c r="BC678">
        <v>51</v>
      </c>
      <c r="BD678" t="s">
        <v>74</v>
      </c>
      <c r="BE678" t="s">
        <v>9145</v>
      </c>
      <c r="BF678" t="str">
        <f>HYPERLINK("http://dx.doi.org/10.1017/S0952836900009055","http://dx.doi.org/10.1017/S0952836900009055")</f>
        <v>http://dx.doi.org/10.1017/S0952836900009055</v>
      </c>
      <c r="BG678" t="s">
        <v>74</v>
      </c>
      <c r="BH678" t="s">
        <v>74</v>
      </c>
      <c r="BI678">
        <v>11</v>
      </c>
      <c r="BJ678" t="s">
        <v>206</v>
      </c>
      <c r="BK678" t="s">
        <v>94</v>
      </c>
      <c r="BL678" t="s">
        <v>206</v>
      </c>
      <c r="BM678" t="s">
        <v>9146</v>
      </c>
      <c r="BN678" t="s">
        <v>74</v>
      </c>
      <c r="BO678" t="s">
        <v>74</v>
      </c>
      <c r="BP678" t="s">
        <v>74</v>
      </c>
      <c r="BQ678" t="s">
        <v>74</v>
      </c>
      <c r="BR678" t="s">
        <v>97</v>
      </c>
      <c r="BS678" t="s">
        <v>9147</v>
      </c>
      <c r="BT678" t="str">
        <f>HYPERLINK("https%3A%2F%2Fwww.webofscience.com%2Fwos%2Fwoscc%2Ffull-record%2FWOS:000089506800005","View Full Record in Web of Science")</f>
        <v>View Full Record in Web of Science</v>
      </c>
    </row>
    <row r="679" spans="1:72" x14ac:dyDescent="0.15">
      <c r="A679" t="s">
        <v>72</v>
      </c>
      <c r="B679" t="s">
        <v>9148</v>
      </c>
      <c r="C679" t="s">
        <v>74</v>
      </c>
      <c r="D679" t="s">
        <v>74</v>
      </c>
      <c r="E679" t="s">
        <v>74</v>
      </c>
      <c r="F679" t="s">
        <v>9148</v>
      </c>
      <c r="G679" t="s">
        <v>74</v>
      </c>
      <c r="H679" t="s">
        <v>74</v>
      </c>
      <c r="I679" t="s">
        <v>9149</v>
      </c>
      <c r="J679" t="s">
        <v>7010</v>
      </c>
      <c r="K679" t="s">
        <v>74</v>
      </c>
      <c r="L679" t="s">
        <v>74</v>
      </c>
      <c r="M679" t="s">
        <v>77</v>
      </c>
      <c r="N679" t="s">
        <v>78</v>
      </c>
      <c r="O679" t="s">
        <v>74</v>
      </c>
      <c r="P679" t="s">
        <v>74</v>
      </c>
      <c r="Q679" t="s">
        <v>74</v>
      </c>
      <c r="R679" t="s">
        <v>74</v>
      </c>
      <c r="S679" t="s">
        <v>74</v>
      </c>
      <c r="T679" t="s">
        <v>74</v>
      </c>
      <c r="U679" t="s">
        <v>9150</v>
      </c>
      <c r="V679" t="s">
        <v>9151</v>
      </c>
      <c r="W679" t="s">
        <v>9152</v>
      </c>
      <c r="X679" t="s">
        <v>9153</v>
      </c>
      <c r="Y679" t="s">
        <v>9154</v>
      </c>
      <c r="Z679" t="s">
        <v>74</v>
      </c>
      <c r="AA679" t="s">
        <v>9155</v>
      </c>
      <c r="AB679" t="s">
        <v>9156</v>
      </c>
      <c r="AC679" t="s">
        <v>74</v>
      </c>
      <c r="AD679" t="s">
        <v>74</v>
      </c>
      <c r="AE679" t="s">
        <v>74</v>
      </c>
      <c r="AF679" t="s">
        <v>74</v>
      </c>
      <c r="AG679">
        <v>34</v>
      </c>
      <c r="AH679">
        <v>67</v>
      </c>
      <c r="AI679">
        <v>75</v>
      </c>
      <c r="AJ679">
        <v>0</v>
      </c>
      <c r="AK679">
        <v>18</v>
      </c>
      <c r="AL679" t="s">
        <v>7017</v>
      </c>
      <c r="AM679" t="s">
        <v>7018</v>
      </c>
      <c r="AN679" t="s">
        <v>7019</v>
      </c>
      <c r="AO679" t="s">
        <v>7020</v>
      </c>
      <c r="AP679" t="s">
        <v>74</v>
      </c>
      <c r="AQ679" t="s">
        <v>74</v>
      </c>
      <c r="AR679" t="s">
        <v>7021</v>
      </c>
      <c r="AS679" t="s">
        <v>7022</v>
      </c>
      <c r="AT679" t="s">
        <v>8459</v>
      </c>
      <c r="AU679">
        <v>2000</v>
      </c>
      <c r="AV679">
        <v>45</v>
      </c>
      <c r="AW679">
        <v>6</v>
      </c>
      <c r="AX679" t="s">
        <v>74</v>
      </c>
      <c r="AY679" t="s">
        <v>74</v>
      </c>
      <c r="AZ679" t="s">
        <v>74</v>
      </c>
      <c r="BA679" t="s">
        <v>74</v>
      </c>
      <c r="BB679">
        <v>1265</v>
      </c>
      <c r="BC679">
        <v>1273</v>
      </c>
      <c r="BD679" t="s">
        <v>74</v>
      </c>
      <c r="BE679" t="s">
        <v>9157</v>
      </c>
      <c r="BF679" t="str">
        <f>HYPERLINK("http://dx.doi.org/10.4319/lo.2000.45.6.1265","http://dx.doi.org/10.4319/lo.2000.45.6.1265")</f>
        <v>http://dx.doi.org/10.4319/lo.2000.45.6.1265</v>
      </c>
      <c r="BG679" t="s">
        <v>74</v>
      </c>
      <c r="BH679" t="s">
        <v>74</v>
      </c>
      <c r="BI679">
        <v>9</v>
      </c>
      <c r="BJ679" t="s">
        <v>7024</v>
      </c>
      <c r="BK679" t="s">
        <v>94</v>
      </c>
      <c r="BL679" t="s">
        <v>7025</v>
      </c>
      <c r="BM679" t="s">
        <v>9158</v>
      </c>
      <c r="BN679" t="s">
        <v>74</v>
      </c>
      <c r="BO679" t="s">
        <v>1755</v>
      </c>
      <c r="BP679" t="s">
        <v>74</v>
      </c>
      <c r="BQ679" t="s">
        <v>74</v>
      </c>
      <c r="BR679" t="s">
        <v>97</v>
      </c>
      <c r="BS679" t="s">
        <v>9159</v>
      </c>
      <c r="BT679" t="str">
        <f>HYPERLINK("https%3A%2F%2Fwww.webofscience.com%2Fwos%2Fwoscc%2Ffull-record%2FWOS:000089396500006","View Full Record in Web of Science")</f>
        <v>View Full Record in Web of Science</v>
      </c>
    </row>
    <row r="680" spans="1:72" x14ac:dyDescent="0.15">
      <c r="A680" t="s">
        <v>72</v>
      </c>
      <c r="B680" t="s">
        <v>9160</v>
      </c>
      <c r="C680" t="s">
        <v>74</v>
      </c>
      <c r="D680" t="s">
        <v>74</v>
      </c>
      <c r="E680" t="s">
        <v>74</v>
      </c>
      <c r="F680" t="s">
        <v>9160</v>
      </c>
      <c r="G680" t="s">
        <v>74</v>
      </c>
      <c r="H680" t="s">
        <v>74</v>
      </c>
      <c r="I680" t="s">
        <v>9161</v>
      </c>
      <c r="J680" t="s">
        <v>2768</v>
      </c>
      <c r="K680" t="s">
        <v>74</v>
      </c>
      <c r="L680" t="s">
        <v>74</v>
      </c>
      <c r="M680" t="s">
        <v>77</v>
      </c>
      <c r="N680" t="s">
        <v>78</v>
      </c>
      <c r="O680" t="s">
        <v>74</v>
      </c>
      <c r="P680" t="s">
        <v>74</v>
      </c>
      <c r="Q680" t="s">
        <v>74</v>
      </c>
      <c r="R680" t="s">
        <v>74</v>
      </c>
      <c r="S680" t="s">
        <v>74</v>
      </c>
      <c r="T680" t="s">
        <v>74</v>
      </c>
      <c r="U680" t="s">
        <v>9162</v>
      </c>
      <c r="V680" t="s">
        <v>9163</v>
      </c>
      <c r="W680" t="s">
        <v>9164</v>
      </c>
      <c r="X680" t="s">
        <v>9165</v>
      </c>
      <c r="Y680" t="s">
        <v>3005</v>
      </c>
      <c r="Z680" t="s">
        <v>3006</v>
      </c>
      <c r="AA680" t="s">
        <v>74</v>
      </c>
      <c r="AB680" t="s">
        <v>74</v>
      </c>
      <c r="AC680" t="s">
        <v>74</v>
      </c>
      <c r="AD680" t="s">
        <v>74</v>
      </c>
      <c r="AE680" t="s">
        <v>74</v>
      </c>
      <c r="AF680" t="s">
        <v>74</v>
      </c>
      <c r="AG680">
        <v>23</v>
      </c>
      <c r="AH680">
        <v>12</v>
      </c>
      <c r="AI680">
        <v>14</v>
      </c>
      <c r="AJ680">
        <v>0</v>
      </c>
      <c r="AK680">
        <v>9</v>
      </c>
      <c r="AL680" t="s">
        <v>906</v>
      </c>
      <c r="AM680" t="s">
        <v>160</v>
      </c>
      <c r="AN680" t="s">
        <v>890</v>
      </c>
      <c r="AO680" t="s">
        <v>2772</v>
      </c>
      <c r="AP680" t="s">
        <v>74</v>
      </c>
      <c r="AQ680" t="s">
        <v>74</v>
      </c>
      <c r="AR680" t="s">
        <v>2774</v>
      </c>
      <c r="AS680" t="s">
        <v>2775</v>
      </c>
      <c r="AT680" t="s">
        <v>8459</v>
      </c>
      <c r="AU680">
        <v>2000</v>
      </c>
      <c r="AV680">
        <v>137</v>
      </c>
      <c r="AW680">
        <v>2</v>
      </c>
      <c r="AX680" t="s">
        <v>74</v>
      </c>
      <c r="AY680" t="s">
        <v>74</v>
      </c>
      <c r="AZ680" t="s">
        <v>74</v>
      </c>
      <c r="BA680" t="s">
        <v>74</v>
      </c>
      <c r="BB680">
        <v>215</v>
      </c>
      <c r="BC680">
        <v>221</v>
      </c>
      <c r="BD680" t="s">
        <v>74</v>
      </c>
      <c r="BE680" t="s">
        <v>9166</v>
      </c>
      <c r="BF680" t="str">
        <f>HYPERLINK("http://dx.doi.org/10.1007/s002270000364","http://dx.doi.org/10.1007/s002270000364")</f>
        <v>http://dx.doi.org/10.1007/s002270000364</v>
      </c>
      <c r="BG680" t="s">
        <v>74</v>
      </c>
      <c r="BH680" t="s">
        <v>74</v>
      </c>
      <c r="BI680">
        <v>7</v>
      </c>
      <c r="BJ680" t="s">
        <v>1259</v>
      </c>
      <c r="BK680" t="s">
        <v>94</v>
      </c>
      <c r="BL680" t="s">
        <v>1259</v>
      </c>
      <c r="BM680" t="s">
        <v>9167</v>
      </c>
      <c r="BN680" t="s">
        <v>74</v>
      </c>
      <c r="BO680" t="s">
        <v>74</v>
      </c>
      <c r="BP680" t="s">
        <v>74</v>
      </c>
      <c r="BQ680" t="s">
        <v>74</v>
      </c>
      <c r="BR680" t="s">
        <v>97</v>
      </c>
      <c r="BS680" t="s">
        <v>9168</v>
      </c>
      <c r="BT680" t="str">
        <f>HYPERLINK("https%3A%2F%2Fwww.webofscience.com%2Fwos%2Fwoscc%2Ffull-record%2FWOS:000089511100004","View Full Record in Web of Science")</f>
        <v>View Full Record in Web of Science</v>
      </c>
    </row>
    <row r="681" spans="1:72" x14ac:dyDescent="0.15">
      <c r="A681" t="s">
        <v>72</v>
      </c>
      <c r="B681" t="s">
        <v>9169</v>
      </c>
      <c r="C681" t="s">
        <v>74</v>
      </c>
      <c r="D681" t="s">
        <v>74</v>
      </c>
      <c r="E681" t="s">
        <v>74</v>
      </c>
      <c r="F681" t="s">
        <v>9169</v>
      </c>
      <c r="G681" t="s">
        <v>74</v>
      </c>
      <c r="H681" t="s">
        <v>74</v>
      </c>
      <c r="I681" t="s">
        <v>9170</v>
      </c>
      <c r="J681" t="s">
        <v>3303</v>
      </c>
      <c r="K681" t="s">
        <v>74</v>
      </c>
      <c r="L681" t="s">
        <v>74</v>
      </c>
      <c r="M681" t="s">
        <v>77</v>
      </c>
      <c r="N681" t="s">
        <v>78</v>
      </c>
      <c r="O681" t="s">
        <v>74</v>
      </c>
      <c r="P681" t="s">
        <v>74</v>
      </c>
      <c r="Q681" t="s">
        <v>74</v>
      </c>
      <c r="R681" t="s">
        <v>74</v>
      </c>
      <c r="S681" t="s">
        <v>74</v>
      </c>
      <c r="T681" t="s">
        <v>9171</v>
      </c>
      <c r="U681" t="s">
        <v>74</v>
      </c>
      <c r="V681" t="s">
        <v>9172</v>
      </c>
      <c r="W681" t="s">
        <v>9173</v>
      </c>
      <c r="X681" t="s">
        <v>9174</v>
      </c>
      <c r="Y681" t="s">
        <v>9175</v>
      </c>
      <c r="Z681" t="s">
        <v>9176</v>
      </c>
      <c r="AA681" t="s">
        <v>74</v>
      </c>
      <c r="AB681" t="s">
        <v>74</v>
      </c>
      <c r="AC681" t="s">
        <v>74</v>
      </c>
      <c r="AD681" t="s">
        <v>74</v>
      </c>
      <c r="AE681" t="s">
        <v>74</v>
      </c>
      <c r="AF681" t="s">
        <v>74</v>
      </c>
      <c r="AG681">
        <v>35</v>
      </c>
      <c r="AH681">
        <v>71</v>
      </c>
      <c r="AI681">
        <v>76</v>
      </c>
      <c r="AJ681">
        <v>1</v>
      </c>
      <c r="AK681">
        <v>10</v>
      </c>
      <c r="AL681" t="s">
        <v>758</v>
      </c>
      <c r="AM681" t="s">
        <v>246</v>
      </c>
      <c r="AN681" t="s">
        <v>759</v>
      </c>
      <c r="AO681" t="s">
        <v>3310</v>
      </c>
      <c r="AP681" t="s">
        <v>9177</v>
      </c>
      <c r="AQ681" t="s">
        <v>74</v>
      </c>
      <c r="AR681" t="s">
        <v>3311</v>
      </c>
      <c r="AS681" t="s">
        <v>3312</v>
      </c>
      <c r="AT681" t="s">
        <v>8459</v>
      </c>
      <c r="AU681">
        <v>2000</v>
      </c>
      <c r="AV681">
        <v>24</v>
      </c>
      <c r="AW681">
        <v>5</v>
      </c>
      <c r="AX681" t="s">
        <v>74</v>
      </c>
      <c r="AY681" t="s">
        <v>74</v>
      </c>
      <c r="AZ681" t="s">
        <v>74</v>
      </c>
      <c r="BA681" t="s">
        <v>74</v>
      </c>
      <c r="BB681">
        <v>361</v>
      </c>
      <c r="BC681">
        <v>374</v>
      </c>
      <c r="BD681" t="s">
        <v>74</v>
      </c>
      <c r="BE681" t="s">
        <v>9178</v>
      </c>
      <c r="BF681" t="str">
        <f>HYPERLINK("http://dx.doi.org/10.1016/S0308-597X(00)00012-9","http://dx.doi.org/10.1016/S0308-597X(00)00012-9")</f>
        <v>http://dx.doi.org/10.1016/S0308-597X(00)00012-9</v>
      </c>
      <c r="BG681" t="s">
        <v>74</v>
      </c>
      <c r="BH681" t="s">
        <v>74</v>
      </c>
      <c r="BI681">
        <v>14</v>
      </c>
      <c r="BJ681" t="s">
        <v>3314</v>
      </c>
      <c r="BK681" t="s">
        <v>657</v>
      </c>
      <c r="BL681" t="s">
        <v>3315</v>
      </c>
      <c r="BM681" t="s">
        <v>9179</v>
      </c>
      <c r="BN681" t="s">
        <v>74</v>
      </c>
      <c r="BO681" t="s">
        <v>74</v>
      </c>
      <c r="BP681" t="s">
        <v>74</v>
      </c>
      <c r="BQ681" t="s">
        <v>74</v>
      </c>
      <c r="BR681" t="s">
        <v>97</v>
      </c>
      <c r="BS681" t="s">
        <v>9180</v>
      </c>
      <c r="BT681" t="str">
        <f>HYPERLINK("https%3A%2F%2Fwww.webofscience.com%2Fwos%2Fwoscc%2Ffull-record%2FWOS:000089569000001","View Full Record in Web of Science")</f>
        <v>View Full Record in Web of Science</v>
      </c>
    </row>
    <row r="682" spans="1:72" x14ac:dyDescent="0.15">
      <c r="A682" t="s">
        <v>72</v>
      </c>
      <c r="B682" t="s">
        <v>9181</v>
      </c>
      <c r="C682" t="s">
        <v>74</v>
      </c>
      <c r="D682" t="s">
        <v>74</v>
      </c>
      <c r="E682" t="s">
        <v>74</v>
      </c>
      <c r="F682" t="s">
        <v>9181</v>
      </c>
      <c r="G682" t="s">
        <v>74</v>
      </c>
      <c r="H682" t="s">
        <v>74</v>
      </c>
      <c r="I682" t="s">
        <v>9182</v>
      </c>
      <c r="J682" t="s">
        <v>3320</v>
      </c>
      <c r="K682" t="s">
        <v>74</v>
      </c>
      <c r="L682" t="s">
        <v>74</v>
      </c>
      <c r="M682" t="s">
        <v>77</v>
      </c>
      <c r="N682" t="s">
        <v>52</v>
      </c>
      <c r="O682" t="s">
        <v>74</v>
      </c>
      <c r="P682" t="s">
        <v>74</v>
      </c>
      <c r="Q682" t="s">
        <v>74</v>
      </c>
      <c r="R682" t="s">
        <v>74</v>
      </c>
      <c r="S682" t="s">
        <v>74</v>
      </c>
      <c r="T682" t="s">
        <v>74</v>
      </c>
      <c r="U682" t="s">
        <v>74</v>
      </c>
      <c r="V682" t="s">
        <v>74</v>
      </c>
      <c r="W682" t="s">
        <v>9183</v>
      </c>
      <c r="X682" t="s">
        <v>9184</v>
      </c>
      <c r="Y682" t="s">
        <v>74</v>
      </c>
      <c r="Z682" t="s">
        <v>74</v>
      </c>
      <c r="AA682" t="s">
        <v>74</v>
      </c>
      <c r="AB682" t="s">
        <v>74</v>
      </c>
      <c r="AC682" t="s">
        <v>74</v>
      </c>
      <c r="AD682" t="s">
        <v>74</v>
      </c>
      <c r="AE682" t="s">
        <v>74</v>
      </c>
      <c r="AF682" t="s">
        <v>74</v>
      </c>
      <c r="AG682">
        <v>2</v>
      </c>
      <c r="AH682">
        <v>3</v>
      </c>
      <c r="AI682">
        <v>3</v>
      </c>
      <c r="AJ682">
        <v>0</v>
      </c>
      <c r="AK682">
        <v>0</v>
      </c>
      <c r="AL682" t="s">
        <v>3328</v>
      </c>
      <c r="AM682" t="s">
        <v>3329</v>
      </c>
      <c r="AN682" t="s">
        <v>3330</v>
      </c>
      <c r="AO682" t="s">
        <v>3331</v>
      </c>
      <c r="AP682" t="s">
        <v>74</v>
      </c>
      <c r="AQ682" t="s">
        <v>74</v>
      </c>
      <c r="AR682" t="s">
        <v>3332</v>
      </c>
      <c r="AS682" t="s">
        <v>3333</v>
      </c>
      <c r="AT682" t="s">
        <v>8459</v>
      </c>
      <c r="AU682">
        <v>2000</v>
      </c>
      <c r="AV682">
        <v>35</v>
      </c>
      <c r="AW682" t="s">
        <v>74</v>
      </c>
      <c r="AX682" t="s">
        <v>74</v>
      </c>
      <c r="AY682" t="s">
        <v>1106</v>
      </c>
      <c r="AZ682" t="s">
        <v>74</v>
      </c>
      <c r="BA682" t="s">
        <v>74</v>
      </c>
      <c r="BB682" t="s">
        <v>9185</v>
      </c>
      <c r="BC682" t="s">
        <v>9185</v>
      </c>
      <c r="BD682" t="s">
        <v>74</v>
      </c>
      <c r="BE682" t="s">
        <v>74</v>
      </c>
      <c r="BF682" t="s">
        <v>74</v>
      </c>
      <c r="BG682" t="s">
        <v>74</v>
      </c>
      <c r="BH682" t="s">
        <v>74</v>
      </c>
      <c r="BI682">
        <v>1</v>
      </c>
      <c r="BJ682" t="s">
        <v>953</v>
      </c>
      <c r="BK682" t="s">
        <v>94</v>
      </c>
      <c r="BL682" t="s">
        <v>953</v>
      </c>
      <c r="BM682" t="s">
        <v>9186</v>
      </c>
      <c r="BN682" t="s">
        <v>74</v>
      </c>
      <c r="BO682" t="s">
        <v>74</v>
      </c>
      <c r="BP682" t="s">
        <v>74</v>
      </c>
      <c r="BQ682" t="s">
        <v>74</v>
      </c>
      <c r="BR682" t="s">
        <v>97</v>
      </c>
      <c r="BS682" t="s">
        <v>9187</v>
      </c>
      <c r="BT682" t="str">
        <f>HYPERLINK("https%3A%2F%2Fwww.webofscience.com%2Fwos%2Fwoscc%2Ffull-record%2FWOS:000089787400014","View Full Record in Web of Science")</f>
        <v>View Full Record in Web of Science</v>
      </c>
    </row>
    <row r="683" spans="1:72" x14ac:dyDescent="0.15">
      <c r="A683" t="s">
        <v>72</v>
      </c>
      <c r="B683" t="s">
        <v>9188</v>
      </c>
      <c r="C683" t="s">
        <v>74</v>
      </c>
      <c r="D683" t="s">
        <v>74</v>
      </c>
      <c r="E683" t="s">
        <v>74</v>
      </c>
      <c r="F683" t="s">
        <v>9188</v>
      </c>
      <c r="G683" t="s">
        <v>74</v>
      </c>
      <c r="H683" t="s">
        <v>74</v>
      </c>
      <c r="I683" t="s">
        <v>9189</v>
      </c>
      <c r="J683" t="s">
        <v>3320</v>
      </c>
      <c r="K683" t="s">
        <v>74</v>
      </c>
      <c r="L683" t="s">
        <v>74</v>
      </c>
      <c r="M683" t="s">
        <v>77</v>
      </c>
      <c r="N683" t="s">
        <v>52</v>
      </c>
      <c r="O683" t="s">
        <v>74</v>
      </c>
      <c r="P683" t="s">
        <v>74</v>
      </c>
      <c r="Q683" t="s">
        <v>74</v>
      </c>
      <c r="R683" t="s">
        <v>74</v>
      </c>
      <c r="S683" t="s">
        <v>74</v>
      </c>
      <c r="T683" t="s">
        <v>74</v>
      </c>
      <c r="U683" t="s">
        <v>9190</v>
      </c>
      <c r="V683" t="s">
        <v>74</v>
      </c>
      <c r="W683" t="s">
        <v>9191</v>
      </c>
      <c r="X683" t="s">
        <v>9192</v>
      </c>
      <c r="Y683" t="s">
        <v>74</v>
      </c>
      <c r="Z683" t="s">
        <v>74</v>
      </c>
      <c r="AA683" t="s">
        <v>9193</v>
      </c>
      <c r="AB683" t="s">
        <v>74</v>
      </c>
      <c r="AC683" t="s">
        <v>74</v>
      </c>
      <c r="AD683" t="s">
        <v>74</v>
      </c>
      <c r="AE683" t="s">
        <v>74</v>
      </c>
      <c r="AF683" t="s">
        <v>74</v>
      </c>
      <c r="AG683">
        <v>6</v>
      </c>
      <c r="AH683">
        <v>5</v>
      </c>
      <c r="AI683">
        <v>5</v>
      </c>
      <c r="AJ683">
        <v>0</v>
      </c>
      <c r="AK683">
        <v>0</v>
      </c>
      <c r="AL683" t="s">
        <v>3328</v>
      </c>
      <c r="AM683" t="s">
        <v>3329</v>
      </c>
      <c r="AN683" t="s">
        <v>3330</v>
      </c>
      <c r="AO683" t="s">
        <v>3331</v>
      </c>
      <c r="AP683" t="s">
        <v>74</v>
      </c>
      <c r="AQ683" t="s">
        <v>74</v>
      </c>
      <c r="AR683" t="s">
        <v>3332</v>
      </c>
      <c r="AS683" t="s">
        <v>3333</v>
      </c>
      <c r="AT683" t="s">
        <v>8459</v>
      </c>
      <c r="AU683">
        <v>2000</v>
      </c>
      <c r="AV683">
        <v>35</v>
      </c>
      <c r="AW683" t="s">
        <v>74</v>
      </c>
      <c r="AX683" t="s">
        <v>74</v>
      </c>
      <c r="AY683" t="s">
        <v>1106</v>
      </c>
      <c r="AZ683" t="s">
        <v>74</v>
      </c>
      <c r="BA683" t="s">
        <v>74</v>
      </c>
      <c r="BB683" t="s">
        <v>9194</v>
      </c>
      <c r="BC683" t="s">
        <v>9194</v>
      </c>
      <c r="BD683" t="s">
        <v>74</v>
      </c>
      <c r="BE683" t="s">
        <v>74</v>
      </c>
      <c r="BF683" t="s">
        <v>74</v>
      </c>
      <c r="BG683" t="s">
        <v>74</v>
      </c>
      <c r="BH683" t="s">
        <v>74</v>
      </c>
      <c r="BI683">
        <v>1</v>
      </c>
      <c r="BJ683" t="s">
        <v>953</v>
      </c>
      <c r="BK683" t="s">
        <v>94</v>
      </c>
      <c r="BL683" t="s">
        <v>953</v>
      </c>
      <c r="BM683" t="s">
        <v>9186</v>
      </c>
      <c r="BN683" t="s">
        <v>74</v>
      </c>
      <c r="BO683" t="s">
        <v>74</v>
      </c>
      <c r="BP683" t="s">
        <v>74</v>
      </c>
      <c r="BQ683" t="s">
        <v>74</v>
      </c>
      <c r="BR683" t="s">
        <v>97</v>
      </c>
      <c r="BS683" t="s">
        <v>9195</v>
      </c>
      <c r="BT683" t="str">
        <f>HYPERLINK("https%3A%2F%2Fwww.webofscience.com%2Fwos%2Fwoscc%2Ffull-record%2FWOS:000089787400078","View Full Record in Web of Science")</f>
        <v>View Full Record in Web of Science</v>
      </c>
    </row>
    <row r="684" spans="1:72" x14ac:dyDescent="0.15">
      <c r="A684" t="s">
        <v>72</v>
      </c>
      <c r="B684" t="s">
        <v>9196</v>
      </c>
      <c r="C684" t="s">
        <v>74</v>
      </c>
      <c r="D684" t="s">
        <v>74</v>
      </c>
      <c r="E684" t="s">
        <v>74</v>
      </c>
      <c r="F684" t="s">
        <v>9196</v>
      </c>
      <c r="G684" t="s">
        <v>74</v>
      </c>
      <c r="H684" t="s">
        <v>74</v>
      </c>
      <c r="I684" t="s">
        <v>9197</v>
      </c>
      <c r="J684" t="s">
        <v>3320</v>
      </c>
      <c r="K684" t="s">
        <v>74</v>
      </c>
      <c r="L684" t="s">
        <v>74</v>
      </c>
      <c r="M684" t="s">
        <v>77</v>
      </c>
      <c r="N684" t="s">
        <v>576</v>
      </c>
      <c r="O684" t="s">
        <v>9198</v>
      </c>
      <c r="P684" t="s">
        <v>9199</v>
      </c>
      <c r="Q684" t="s">
        <v>9200</v>
      </c>
      <c r="R684" t="s">
        <v>74</v>
      </c>
      <c r="S684" t="s">
        <v>74</v>
      </c>
      <c r="T684" t="s">
        <v>74</v>
      </c>
      <c r="U684" t="s">
        <v>74</v>
      </c>
      <c r="V684" t="s">
        <v>9201</v>
      </c>
      <c r="W684" t="s">
        <v>9202</v>
      </c>
      <c r="X684" t="s">
        <v>3733</v>
      </c>
      <c r="Y684" t="s">
        <v>9203</v>
      </c>
      <c r="Z684" t="s">
        <v>9204</v>
      </c>
      <c r="AA684" t="s">
        <v>9205</v>
      </c>
      <c r="AB684" t="s">
        <v>74</v>
      </c>
      <c r="AC684" t="s">
        <v>74</v>
      </c>
      <c r="AD684" t="s">
        <v>74</v>
      </c>
      <c r="AE684" t="s">
        <v>74</v>
      </c>
      <c r="AF684" t="s">
        <v>74</v>
      </c>
      <c r="AG684">
        <v>7</v>
      </c>
      <c r="AH684">
        <v>6</v>
      </c>
      <c r="AI684">
        <v>6</v>
      </c>
      <c r="AJ684">
        <v>0</v>
      </c>
      <c r="AK684">
        <v>2</v>
      </c>
      <c r="AL684" t="s">
        <v>813</v>
      </c>
      <c r="AM684" t="s">
        <v>814</v>
      </c>
      <c r="AN684" t="s">
        <v>815</v>
      </c>
      <c r="AO684" t="s">
        <v>9206</v>
      </c>
      <c r="AP684" t="s">
        <v>9207</v>
      </c>
      <c r="AQ684" t="s">
        <v>74</v>
      </c>
      <c r="AR684" t="s">
        <v>3332</v>
      </c>
      <c r="AS684" t="s">
        <v>3333</v>
      </c>
      <c r="AT684" t="s">
        <v>8459</v>
      </c>
      <c r="AU684">
        <v>2000</v>
      </c>
      <c r="AV684">
        <v>35</v>
      </c>
      <c r="AW684" t="s">
        <v>74</v>
      </c>
      <c r="AX684" t="s">
        <v>74</v>
      </c>
      <c r="AY684" t="s">
        <v>1106</v>
      </c>
      <c r="AZ684" t="s">
        <v>74</v>
      </c>
      <c r="BA684" t="s">
        <v>74</v>
      </c>
      <c r="BB684" t="s">
        <v>9208</v>
      </c>
      <c r="BC684" t="s">
        <v>9209</v>
      </c>
      <c r="BD684" t="s">
        <v>74</v>
      </c>
      <c r="BE684" t="s">
        <v>9210</v>
      </c>
      <c r="BF684" t="str">
        <f>HYPERLINK("http://dx.doi.org/10.1111/j.1945-5100.2000.tb01795.x","http://dx.doi.org/10.1111/j.1945-5100.2000.tb01795.x")</f>
        <v>http://dx.doi.org/10.1111/j.1945-5100.2000.tb01795.x</v>
      </c>
      <c r="BG684" t="s">
        <v>74</v>
      </c>
      <c r="BH684" t="s">
        <v>74</v>
      </c>
      <c r="BI684">
        <v>10</v>
      </c>
      <c r="BJ684" t="s">
        <v>953</v>
      </c>
      <c r="BK684" t="s">
        <v>2763</v>
      </c>
      <c r="BL684" t="s">
        <v>953</v>
      </c>
      <c r="BM684" t="s">
        <v>9186</v>
      </c>
      <c r="BN684" t="s">
        <v>74</v>
      </c>
      <c r="BO684" t="s">
        <v>1755</v>
      </c>
      <c r="BP684" t="s">
        <v>74</v>
      </c>
      <c r="BQ684" t="s">
        <v>74</v>
      </c>
      <c r="BR684" t="s">
        <v>97</v>
      </c>
      <c r="BS684" t="s">
        <v>9211</v>
      </c>
      <c r="BT684" t="str">
        <f>HYPERLINK("https%3A%2F%2Fwww.webofscience.com%2Fwos%2Fwoscc%2Ffull-record%2FWOS:000089787400325","View Full Record in Web of Science")</f>
        <v>View Full Record in Web of Science</v>
      </c>
    </row>
    <row r="685" spans="1:72" x14ac:dyDescent="0.15">
      <c r="A685" t="s">
        <v>72</v>
      </c>
      <c r="B685" t="s">
        <v>9212</v>
      </c>
      <c r="C685" t="s">
        <v>74</v>
      </c>
      <c r="D685" t="s">
        <v>74</v>
      </c>
      <c r="E685" t="s">
        <v>74</v>
      </c>
      <c r="F685" t="s">
        <v>9212</v>
      </c>
      <c r="G685" t="s">
        <v>74</v>
      </c>
      <c r="H685" t="s">
        <v>74</v>
      </c>
      <c r="I685" t="s">
        <v>9213</v>
      </c>
      <c r="J685" t="s">
        <v>3320</v>
      </c>
      <c r="K685" t="s">
        <v>74</v>
      </c>
      <c r="L685" t="s">
        <v>74</v>
      </c>
      <c r="M685" t="s">
        <v>77</v>
      </c>
      <c r="N685" t="s">
        <v>52</v>
      </c>
      <c r="O685" t="s">
        <v>74</v>
      </c>
      <c r="P685" t="s">
        <v>74</v>
      </c>
      <c r="Q685" t="s">
        <v>74</v>
      </c>
      <c r="R685" t="s">
        <v>74</v>
      </c>
      <c r="S685" t="s">
        <v>74</v>
      </c>
      <c r="T685" t="s">
        <v>74</v>
      </c>
      <c r="U685" t="s">
        <v>9214</v>
      </c>
      <c r="V685" t="s">
        <v>74</v>
      </c>
      <c r="W685" t="s">
        <v>9215</v>
      </c>
      <c r="X685" t="s">
        <v>9216</v>
      </c>
      <c r="Y685" t="s">
        <v>74</v>
      </c>
      <c r="Z685" t="s">
        <v>74</v>
      </c>
      <c r="AA685" t="s">
        <v>74</v>
      </c>
      <c r="AB685" t="s">
        <v>74</v>
      </c>
      <c r="AC685" t="s">
        <v>74</v>
      </c>
      <c r="AD685" t="s">
        <v>74</v>
      </c>
      <c r="AE685" t="s">
        <v>74</v>
      </c>
      <c r="AF685" t="s">
        <v>74</v>
      </c>
      <c r="AG685">
        <v>3</v>
      </c>
      <c r="AH685">
        <v>2</v>
      </c>
      <c r="AI685">
        <v>2</v>
      </c>
      <c r="AJ685">
        <v>0</v>
      </c>
      <c r="AK685">
        <v>2</v>
      </c>
      <c r="AL685" t="s">
        <v>3328</v>
      </c>
      <c r="AM685" t="s">
        <v>3329</v>
      </c>
      <c r="AN685" t="s">
        <v>3330</v>
      </c>
      <c r="AO685" t="s">
        <v>3331</v>
      </c>
      <c r="AP685" t="s">
        <v>74</v>
      </c>
      <c r="AQ685" t="s">
        <v>74</v>
      </c>
      <c r="AR685" t="s">
        <v>3332</v>
      </c>
      <c r="AS685" t="s">
        <v>3333</v>
      </c>
      <c r="AT685" t="s">
        <v>8459</v>
      </c>
      <c r="AU685">
        <v>2000</v>
      </c>
      <c r="AV685">
        <v>35</v>
      </c>
      <c r="AW685" t="s">
        <v>74</v>
      </c>
      <c r="AX685" t="s">
        <v>74</v>
      </c>
      <c r="AY685" t="s">
        <v>1106</v>
      </c>
      <c r="AZ685" t="s">
        <v>74</v>
      </c>
      <c r="BA685" t="s">
        <v>74</v>
      </c>
      <c r="BB685" t="s">
        <v>9217</v>
      </c>
      <c r="BC685" t="s">
        <v>9217</v>
      </c>
      <c r="BD685" t="s">
        <v>74</v>
      </c>
      <c r="BE685" t="s">
        <v>74</v>
      </c>
      <c r="BF685" t="s">
        <v>74</v>
      </c>
      <c r="BG685" t="s">
        <v>74</v>
      </c>
      <c r="BH685" t="s">
        <v>74</v>
      </c>
      <c r="BI685">
        <v>1</v>
      </c>
      <c r="BJ685" t="s">
        <v>953</v>
      </c>
      <c r="BK685" t="s">
        <v>94</v>
      </c>
      <c r="BL685" t="s">
        <v>953</v>
      </c>
      <c r="BM685" t="s">
        <v>9186</v>
      </c>
      <c r="BN685" t="s">
        <v>74</v>
      </c>
      <c r="BO685" t="s">
        <v>74</v>
      </c>
      <c r="BP685" t="s">
        <v>74</v>
      </c>
      <c r="BQ685" t="s">
        <v>74</v>
      </c>
      <c r="BR685" t="s">
        <v>97</v>
      </c>
      <c r="BS685" t="s">
        <v>9218</v>
      </c>
      <c r="BT685" t="str">
        <f>HYPERLINK("https%3A%2F%2Fwww.webofscience.com%2Fwos%2Fwoscc%2Ffull-record%2FWOS:000089787400088","View Full Record in Web of Science")</f>
        <v>View Full Record in Web of Science</v>
      </c>
    </row>
    <row r="686" spans="1:72" x14ac:dyDescent="0.15">
      <c r="A686" t="s">
        <v>72</v>
      </c>
      <c r="B686" t="s">
        <v>9219</v>
      </c>
      <c r="C686" t="s">
        <v>74</v>
      </c>
      <c r="D686" t="s">
        <v>74</v>
      </c>
      <c r="E686" t="s">
        <v>74</v>
      </c>
      <c r="F686" t="s">
        <v>9219</v>
      </c>
      <c r="G686" t="s">
        <v>74</v>
      </c>
      <c r="H686" t="s">
        <v>74</v>
      </c>
      <c r="I686" t="s">
        <v>9220</v>
      </c>
      <c r="J686" t="s">
        <v>3320</v>
      </c>
      <c r="K686" t="s">
        <v>74</v>
      </c>
      <c r="L686" t="s">
        <v>74</v>
      </c>
      <c r="M686" t="s">
        <v>77</v>
      </c>
      <c r="N686" t="s">
        <v>52</v>
      </c>
      <c r="O686" t="s">
        <v>74</v>
      </c>
      <c r="P686" t="s">
        <v>74</v>
      </c>
      <c r="Q686" t="s">
        <v>74</v>
      </c>
      <c r="R686" t="s">
        <v>74</v>
      </c>
      <c r="S686" t="s">
        <v>74</v>
      </c>
      <c r="T686" t="s">
        <v>74</v>
      </c>
      <c r="U686" t="s">
        <v>9214</v>
      </c>
      <c r="V686" t="s">
        <v>74</v>
      </c>
      <c r="W686" t="s">
        <v>9221</v>
      </c>
      <c r="X686" t="s">
        <v>9222</v>
      </c>
      <c r="Y686" t="s">
        <v>74</v>
      </c>
      <c r="Z686" t="s">
        <v>74</v>
      </c>
      <c r="AA686" t="s">
        <v>74</v>
      </c>
      <c r="AB686" t="s">
        <v>74</v>
      </c>
      <c r="AC686" t="s">
        <v>74</v>
      </c>
      <c r="AD686" t="s">
        <v>74</v>
      </c>
      <c r="AE686" t="s">
        <v>74</v>
      </c>
      <c r="AF686" t="s">
        <v>74</v>
      </c>
      <c r="AG686">
        <v>6</v>
      </c>
      <c r="AH686">
        <v>1</v>
      </c>
      <c r="AI686">
        <v>1</v>
      </c>
      <c r="AJ686">
        <v>0</v>
      </c>
      <c r="AK686">
        <v>1</v>
      </c>
      <c r="AL686" t="s">
        <v>3328</v>
      </c>
      <c r="AM686" t="s">
        <v>3329</v>
      </c>
      <c r="AN686" t="s">
        <v>3330</v>
      </c>
      <c r="AO686" t="s">
        <v>3331</v>
      </c>
      <c r="AP686" t="s">
        <v>74</v>
      </c>
      <c r="AQ686" t="s">
        <v>74</v>
      </c>
      <c r="AR686" t="s">
        <v>3332</v>
      </c>
      <c r="AS686" t="s">
        <v>3333</v>
      </c>
      <c r="AT686" t="s">
        <v>8459</v>
      </c>
      <c r="AU686">
        <v>2000</v>
      </c>
      <c r="AV686">
        <v>35</v>
      </c>
      <c r="AW686" t="s">
        <v>74</v>
      </c>
      <c r="AX686" t="s">
        <v>74</v>
      </c>
      <c r="AY686" t="s">
        <v>1106</v>
      </c>
      <c r="AZ686" t="s">
        <v>74</v>
      </c>
      <c r="BA686" t="s">
        <v>74</v>
      </c>
      <c r="BB686" t="s">
        <v>9223</v>
      </c>
      <c r="BC686" t="s">
        <v>9217</v>
      </c>
      <c r="BD686" t="s">
        <v>74</v>
      </c>
      <c r="BE686" t="s">
        <v>74</v>
      </c>
      <c r="BF686" t="s">
        <v>74</v>
      </c>
      <c r="BG686" t="s">
        <v>74</v>
      </c>
      <c r="BH686" t="s">
        <v>74</v>
      </c>
      <c r="BI686">
        <v>2</v>
      </c>
      <c r="BJ686" t="s">
        <v>953</v>
      </c>
      <c r="BK686" t="s">
        <v>94</v>
      </c>
      <c r="BL686" t="s">
        <v>953</v>
      </c>
      <c r="BM686" t="s">
        <v>9186</v>
      </c>
      <c r="BN686" t="s">
        <v>74</v>
      </c>
      <c r="BO686" t="s">
        <v>74</v>
      </c>
      <c r="BP686" t="s">
        <v>74</v>
      </c>
      <c r="BQ686" t="s">
        <v>74</v>
      </c>
      <c r="BR686" t="s">
        <v>97</v>
      </c>
      <c r="BS686" t="s">
        <v>9224</v>
      </c>
      <c r="BT686" t="str">
        <f>HYPERLINK("https%3A%2F%2Fwww.webofscience.com%2Fwos%2Fwoscc%2Ffull-record%2FWOS:000089787400087","View Full Record in Web of Science")</f>
        <v>View Full Record in Web of Science</v>
      </c>
    </row>
    <row r="687" spans="1:72" x14ac:dyDescent="0.15">
      <c r="A687" t="s">
        <v>72</v>
      </c>
      <c r="B687" t="s">
        <v>9225</v>
      </c>
      <c r="C687" t="s">
        <v>74</v>
      </c>
      <c r="D687" t="s">
        <v>74</v>
      </c>
      <c r="E687" t="s">
        <v>74</v>
      </c>
      <c r="F687" t="s">
        <v>9225</v>
      </c>
      <c r="G687" t="s">
        <v>74</v>
      </c>
      <c r="H687" t="s">
        <v>74</v>
      </c>
      <c r="I687" t="s">
        <v>9226</v>
      </c>
      <c r="J687" t="s">
        <v>3320</v>
      </c>
      <c r="K687" t="s">
        <v>74</v>
      </c>
      <c r="L687" t="s">
        <v>74</v>
      </c>
      <c r="M687" t="s">
        <v>77</v>
      </c>
      <c r="N687" t="s">
        <v>52</v>
      </c>
      <c r="O687" t="s">
        <v>74</v>
      </c>
      <c r="P687" t="s">
        <v>74</v>
      </c>
      <c r="Q687" t="s">
        <v>74</v>
      </c>
      <c r="R687" t="s">
        <v>74</v>
      </c>
      <c r="S687" t="s">
        <v>74</v>
      </c>
      <c r="T687" t="s">
        <v>74</v>
      </c>
      <c r="U687" t="s">
        <v>9227</v>
      </c>
      <c r="V687" t="s">
        <v>74</v>
      </c>
      <c r="W687" t="s">
        <v>9228</v>
      </c>
      <c r="X687" t="s">
        <v>9229</v>
      </c>
      <c r="Y687" t="s">
        <v>74</v>
      </c>
      <c r="Z687" t="s">
        <v>74</v>
      </c>
      <c r="AA687" t="s">
        <v>74</v>
      </c>
      <c r="AB687" t="s">
        <v>74</v>
      </c>
      <c r="AC687" t="s">
        <v>74</v>
      </c>
      <c r="AD687" t="s">
        <v>74</v>
      </c>
      <c r="AE687" t="s">
        <v>74</v>
      </c>
      <c r="AF687" t="s">
        <v>74</v>
      </c>
      <c r="AG687">
        <v>12</v>
      </c>
      <c r="AH687">
        <v>0</v>
      </c>
      <c r="AI687">
        <v>0</v>
      </c>
      <c r="AJ687">
        <v>0</v>
      </c>
      <c r="AK687">
        <v>0</v>
      </c>
      <c r="AL687" t="s">
        <v>3328</v>
      </c>
      <c r="AM687" t="s">
        <v>3329</v>
      </c>
      <c r="AN687" t="s">
        <v>3330</v>
      </c>
      <c r="AO687" t="s">
        <v>3331</v>
      </c>
      <c r="AP687" t="s">
        <v>74</v>
      </c>
      <c r="AQ687" t="s">
        <v>74</v>
      </c>
      <c r="AR687" t="s">
        <v>3332</v>
      </c>
      <c r="AS687" t="s">
        <v>3333</v>
      </c>
      <c r="AT687" t="s">
        <v>8459</v>
      </c>
      <c r="AU687">
        <v>2000</v>
      </c>
      <c r="AV687">
        <v>35</v>
      </c>
      <c r="AW687" t="s">
        <v>74</v>
      </c>
      <c r="AX687" t="s">
        <v>74</v>
      </c>
      <c r="AY687" t="s">
        <v>1106</v>
      </c>
      <c r="AZ687" t="s">
        <v>74</v>
      </c>
      <c r="BA687" t="s">
        <v>74</v>
      </c>
      <c r="BB687" t="s">
        <v>9230</v>
      </c>
      <c r="BC687" t="s">
        <v>9230</v>
      </c>
      <c r="BD687" t="s">
        <v>74</v>
      </c>
      <c r="BE687" t="s">
        <v>74</v>
      </c>
      <c r="BF687" t="s">
        <v>74</v>
      </c>
      <c r="BG687" t="s">
        <v>74</v>
      </c>
      <c r="BH687" t="s">
        <v>74</v>
      </c>
      <c r="BI687">
        <v>1</v>
      </c>
      <c r="BJ687" t="s">
        <v>953</v>
      </c>
      <c r="BK687" t="s">
        <v>94</v>
      </c>
      <c r="BL687" t="s">
        <v>953</v>
      </c>
      <c r="BM687" t="s">
        <v>9186</v>
      </c>
      <c r="BN687" t="s">
        <v>74</v>
      </c>
      <c r="BO687" t="s">
        <v>74</v>
      </c>
      <c r="BP687" t="s">
        <v>74</v>
      </c>
      <c r="BQ687" t="s">
        <v>74</v>
      </c>
      <c r="BR687" t="s">
        <v>97</v>
      </c>
      <c r="BS687" t="s">
        <v>9231</v>
      </c>
      <c r="BT687" t="str">
        <f>HYPERLINK("https%3A%2F%2Fwww.webofscience.com%2Fwos%2Fwoscc%2Ffull-record%2FWOS:000089787400096","View Full Record in Web of Science")</f>
        <v>View Full Record in Web of Science</v>
      </c>
    </row>
    <row r="688" spans="1:72" x14ac:dyDescent="0.15">
      <c r="A688" t="s">
        <v>72</v>
      </c>
      <c r="B688" t="s">
        <v>9232</v>
      </c>
      <c r="C688" t="s">
        <v>74</v>
      </c>
      <c r="D688" t="s">
        <v>74</v>
      </c>
      <c r="E688" t="s">
        <v>74</v>
      </c>
      <c r="F688" t="s">
        <v>9232</v>
      </c>
      <c r="G688" t="s">
        <v>74</v>
      </c>
      <c r="H688" t="s">
        <v>74</v>
      </c>
      <c r="I688" t="s">
        <v>9233</v>
      </c>
      <c r="J688" t="s">
        <v>3320</v>
      </c>
      <c r="K688" t="s">
        <v>74</v>
      </c>
      <c r="L688" t="s">
        <v>74</v>
      </c>
      <c r="M688" t="s">
        <v>77</v>
      </c>
      <c r="N688" t="s">
        <v>52</v>
      </c>
      <c r="O688" t="s">
        <v>74</v>
      </c>
      <c r="P688" t="s">
        <v>74</v>
      </c>
      <c r="Q688" t="s">
        <v>74</v>
      </c>
      <c r="R688" t="s">
        <v>74</v>
      </c>
      <c r="S688" t="s">
        <v>74</v>
      </c>
      <c r="T688" t="s">
        <v>74</v>
      </c>
      <c r="U688" t="s">
        <v>74</v>
      </c>
      <c r="V688" t="s">
        <v>74</v>
      </c>
      <c r="W688" t="s">
        <v>9234</v>
      </c>
      <c r="X688" t="s">
        <v>9235</v>
      </c>
      <c r="Y688" t="s">
        <v>74</v>
      </c>
      <c r="Z688" t="s">
        <v>74</v>
      </c>
      <c r="AA688" t="s">
        <v>74</v>
      </c>
      <c r="AB688" t="s">
        <v>74</v>
      </c>
      <c r="AC688" t="s">
        <v>74</v>
      </c>
      <c r="AD688" t="s">
        <v>74</v>
      </c>
      <c r="AE688" t="s">
        <v>74</v>
      </c>
      <c r="AF688" t="s">
        <v>74</v>
      </c>
      <c r="AG688">
        <v>7</v>
      </c>
      <c r="AH688">
        <v>1</v>
      </c>
      <c r="AI688">
        <v>1</v>
      </c>
      <c r="AJ688">
        <v>0</v>
      </c>
      <c r="AK688">
        <v>0</v>
      </c>
      <c r="AL688" t="s">
        <v>3328</v>
      </c>
      <c r="AM688" t="s">
        <v>3329</v>
      </c>
      <c r="AN688" t="s">
        <v>3330</v>
      </c>
      <c r="AO688" t="s">
        <v>3331</v>
      </c>
      <c r="AP688" t="s">
        <v>74</v>
      </c>
      <c r="AQ688" t="s">
        <v>74</v>
      </c>
      <c r="AR688" t="s">
        <v>3332</v>
      </c>
      <c r="AS688" t="s">
        <v>3333</v>
      </c>
      <c r="AT688" t="s">
        <v>8459</v>
      </c>
      <c r="AU688">
        <v>2000</v>
      </c>
      <c r="AV688">
        <v>35</v>
      </c>
      <c r="AW688" t="s">
        <v>74</v>
      </c>
      <c r="AX688" t="s">
        <v>74</v>
      </c>
      <c r="AY688" t="s">
        <v>1106</v>
      </c>
      <c r="AZ688" t="s">
        <v>74</v>
      </c>
      <c r="BA688" t="s">
        <v>74</v>
      </c>
      <c r="BB688" t="s">
        <v>9236</v>
      </c>
      <c r="BC688" t="s">
        <v>9236</v>
      </c>
      <c r="BD688" t="s">
        <v>74</v>
      </c>
      <c r="BE688" t="s">
        <v>74</v>
      </c>
      <c r="BF688" t="s">
        <v>74</v>
      </c>
      <c r="BG688" t="s">
        <v>74</v>
      </c>
      <c r="BH688" t="s">
        <v>74</v>
      </c>
      <c r="BI688">
        <v>1</v>
      </c>
      <c r="BJ688" t="s">
        <v>953</v>
      </c>
      <c r="BK688" t="s">
        <v>94</v>
      </c>
      <c r="BL688" t="s">
        <v>953</v>
      </c>
      <c r="BM688" t="s">
        <v>9186</v>
      </c>
      <c r="BN688" t="s">
        <v>74</v>
      </c>
      <c r="BO688" t="s">
        <v>74</v>
      </c>
      <c r="BP688" t="s">
        <v>74</v>
      </c>
      <c r="BQ688" t="s">
        <v>74</v>
      </c>
      <c r="BR688" t="s">
        <v>97</v>
      </c>
      <c r="BS688" t="s">
        <v>9237</v>
      </c>
      <c r="BT688" t="str">
        <f>HYPERLINK("https%3A%2F%2Fwww.webofscience.com%2Fwos%2Fwoscc%2Ffull-record%2FWOS:000089787400189","View Full Record in Web of Science")</f>
        <v>View Full Record in Web of Science</v>
      </c>
    </row>
    <row r="689" spans="1:72" x14ac:dyDescent="0.15">
      <c r="A689" t="s">
        <v>72</v>
      </c>
      <c r="B689" t="s">
        <v>9238</v>
      </c>
      <c r="C689" t="s">
        <v>74</v>
      </c>
      <c r="D689" t="s">
        <v>74</v>
      </c>
      <c r="E689" t="s">
        <v>74</v>
      </c>
      <c r="F689" t="s">
        <v>9238</v>
      </c>
      <c r="G689" t="s">
        <v>74</v>
      </c>
      <c r="H689" t="s">
        <v>74</v>
      </c>
      <c r="I689" t="s">
        <v>9239</v>
      </c>
      <c r="J689" t="s">
        <v>3320</v>
      </c>
      <c r="K689" t="s">
        <v>74</v>
      </c>
      <c r="L689" t="s">
        <v>74</v>
      </c>
      <c r="M689" t="s">
        <v>77</v>
      </c>
      <c r="N689" t="s">
        <v>52</v>
      </c>
      <c r="O689" t="s">
        <v>74</v>
      </c>
      <c r="P689" t="s">
        <v>74</v>
      </c>
      <c r="Q689" t="s">
        <v>74</v>
      </c>
      <c r="R689" t="s">
        <v>74</v>
      </c>
      <c r="S689" t="s">
        <v>74</v>
      </c>
      <c r="T689" t="s">
        <v>74</v>
      </c>
      <c r="U689" t="s">
        <v>74</v>
      </c>
      <c r="V689" t="s">
        <v>74</v>
      </c>
      <c r="W689" t="s">
        <v>9240</v>
      </c>
      <c r="X689" t="s">
        <v>9241</v>
      </c>
      <c r="Y689" t="s">
        <v>74</v>
      </c>
      <c r="Z689" t="s">
        <v>74</v>
      </c>
      <c r="AA689" t="s">
        <v>74</v>
      </c>
      <c r="AB689" t="s">
        <v>74</v>
      </c>
      <c r="AC689" t="s">
        <v>74</v>
      </c>
      <c r="AD689" t="s">
        <v>74</v>
      </c>
      <c r="AE689" t="s">
        <v>74</v>
      </c>
      <c r="AF689" t="s">
        <v>74</v>
      </c>
      <c r="AG689">
        <v>4</v>
      </c>
      <c r="AH689">
        <v>0</v>
      </c>
      <c r="AI689">
        <v>0</v>
      </c>
      <c r="AJ689">
        <v>0</v>
      </c>
      <c r="AK689">
        <v>0</v>
      </c>
      <c r="AL689" t="s">
        <v>3328</v>
      </c>
      <c r="AM689" t="s">
        <v>3329</v>
      </c>
      <c r="AN689" t="s">
        <v>3330</v>
      </c>
      <c r="AO689" t="s">
        <v>3331</v>
      </c>
      <c r="AP689" t="s">
        <v>74</v>
      </c>
      <c r="AQ689" t="s">
        <v>74</v>
      </c>
      <c r="AR689" t="s">
        <v>3332</v>
      </c>
      <c r="AS689" t="s">
        <v>3333</v>
      </c>
      <c r="AT689" t="s">
        <v>8459</v>
      </c>
      <c r="AU689">
        <v>2000</v>
      </c>
      <c r="AV689">
        <v>35</v>
      </c>
      <c r="AW689" t="s">
        <v>74</v>
      </c>
      <c r="AX689" t="s">
        <v>74</v>
      </c>
      <c r="AY689" t="s">
        <v>1106</v>
      </c>
      <c r="AZ689" t="s">
        <v>74</v>
      </c>
      <c r="BA689" t="s">
        <v>74</v>
      </c>
      <c r="BB689" t="s">
        <v>9242</v>
      </c>
      <c r="BC689" t="s">
        <v>9243</v>
      </c>
      <c r="BD689" t="s">
        <v>74</v>
      </c>
      <c r="BE689" t="s">
        <v>74</v>
      </c>
      <c r="BF689" t="s">
        <v>74</v>
      </c>
      <c r="BG689" t="s">
        <v>74</v>
      </c>
      <c r="BH689" t="s">
        <v>74</v>
      </c>
      <c r="BI689">
        <v>2</v>
      </c>
      <c r="BJ689" t="s">
        <v>953</v>
      </c>
      <c r="BK689" t="s">
        <v>94</v>
      </c>
      <c r="BL689" t="s">
        <v>953</v>
      </c>
      <c r="BM689" t="s">
        <v>9186</v>
      </c>
      <c r="BN689" t="s">
        <v>74</v>
      </c>
      <c r="BO689" t="s">
        <v>74</v>
      </c>
      <c r="BP689" t="s">
        <v>74</v>
      </c>
      <c r="BQ689" t="s">
        <v>74</v>
      </c>
      <c r="BR689" t="s">
        <v>97</v>
      </c>
      <c r="BS689" t="s">
        <v>9244</v>
      </c>
      <c r="BT689" t="str">
        <f>HYPERLINK("https%3A%2F%2Fwww.webofscience.com%2Fwos%2Fwoscc%2Ffull-record%2FWOS:000089787400211","View Full Record in Web of Science")</f>
        <v>View Full Record in Web of Science</v>
      </c>
    </row>
    <row r="690" spans="1:72" x14ac:dyDescent="0.15">
      <c r="A690" t="s">
        <v>72</v>
      </c>
      <c r="B690" t="s">
        <v>9245</v>
      </c>
      <c r="C690" t="s">
        <v>74</v>
      </c>
      <c r="D690" t="s">
        <v>74</v>
      </c>
      <c r="E690" t="s">
        <v>74</v>
      </c>
      <c r="F690" t="s">
        <v>9245</v>
      </c>
      <c r="G690" t="s">
        <v>74</v>
      </c>
      <c r="H690" t="s">
        <v>74</v>
      </c>
      <c r="I690" t="s">
        <v>9246</v>
      </c>
      <c r="J690" t="s">
        <v>3320</v>
      </c>
      <c r="K690" t="s">
        <v>74</v>
      </c>
      <c r="L690" t="s">
        <v>74</v>
      </c>
      <c r="M690" t="s">
        <v>77</v>
      </c>
      <c r="N690" t="s">
        <v>52</v>
      </c>
      <c r="O690" t="s">
        <v>74</v>
      </c>
      <c r="P690" t="s">
        <v>74</v>
      </c>
      <c r="Q690" t="s">
        <v>74</v>
      </c>
      <c r="R690" t="s">
        <v>74</v>
      </c>
      <c r="S690" t="s">
        <v>74</v>
      </c>
      <c r="T690" t="s">
        <v>74</v>
      </c>
      <c r="U690" t="s">
        <v>74</v>
      </c>
      <c r="V690" t="s">
        <v>74</v>
      </c>
      <c r="W690" t="s">
        <v>9247</v>
      </c>
      <c r="X690" t="s">
        <v>9248</v>
      </c>
      <c r="Y690" t="s">
        <v>74</v>
      </c>
      <c r="Z690" t="s">
        <v>74</v>
      </c>
      <c r="AA690" t="s">
        <v>9249</v>
      </c>
      <c r="AB690" t="s">
        <v>74</v>
      </c>
      <c r="AC690" t="s">
        <v>74</v>
      </c>
      <c r="AD690" t="s">
        <v>74</v>
      </c>
      <c r="AE690" t="s">
        <v>74</v>
      </c>
      <c r="AF690" t="s">
        <v>74</v>
      </c>
      <c r="AG690">
        <v>4</v>
      </c>
      <c r="AH690">
        <v>0</v>
      </c>
      <c r="AI690">
        <v>0</v>
      </c>
      <c r="AJ690">
        <v>0</v>
      </c>
      <c r="AK690">
        <v>0</v>
      </c>
      <c r="AL690" t="s">
        <v>3328</v>
      </c>
      <c r="AM690" t="s">
        <v>3329</v>
      </c>
      <c r="AN690" t="s">
        <v>3330</v>
      </c>
      <c r="AO690" t="s">
        <v>3331</v>
      </c>
      <c r="AP690" t="s">
        <v>74</v>
      </c>
      <c r="AQ690" t="s">
        <v>74</v>
      </c>
      <c r="AR690" t="s">
        <v>3332</v>
      </c>
      <c r="AS690" t="s">
        <v>3333</v>
      </c>
      <c r="AT690" t="s">
        <v>8459</v>
      </c>
      <c r="AU690">
        <v>2000</v>
      </c>
      <c r="AV690">
        <v>35</v>
      </c>
      <c r="AW690" t="s">
        <v>74</v>
      </c>
      <c r="AX690" t="s">
        <v>74</v>
      </c>
      <c r="AY690" t="s">
        <v>1106</v>
      </c>
      <c r="AZ690" t="s">
        <v>74</v>
      </c>
      <c r="BA690" t="s">
        <v>74</v>
      </c>
      <c r="BB690" t="s">
        <v>9243</v>
      </c>
      <c r="BC690" t="s">
        <v>9250</v>
      </c>
      <c r="BD690" t="s">
        <v>74</v>
      </c>
      <c r="BE690" t="s">
        <v>74</v>
      </c>
      <c r="BF690" t="s">
        <v>74</v>
      </c>
      <c r="BG690" t="s">
        <v>74</v>
      </c>
      <c r="BH690" t="s">
        <v>74</v>
      </c>
      <c r="BI690">
        <v>2</v>
      </c>
      <c r="BJ690" t="s">
        <v>953</v>
      </c>
      <c r="BK690" t="s">
        <v>94</v>
      </c>
      <c r="BL690" t="s">
        <v>953</v>
      </c>
      <c r="BM690" t="s">
        <v>9186</v>
      </c>
      <c r="BN690" t="s">
        <v>74</v>
      </c>
      <c r="BO690" t="s">
        <v>74</v>
      </c>
      <c r="BP690" t="s">
        <v>74</v>
      </c>
      <c r="BQ690" t="s">
        <v>74</v>
      </c>
      <c r="BR690" t="s">
        <v>97</v>
      </c>
      <c r="BS690" t="s">
        <v>9251</v>
      </c>
      <c r="BT690" t="str">
        <f>HYPERLINK("https%3A%2F%2Fwww.webofscience.com%2Fwos%2Fwoscc%2Ffull-record%2FWOS:000089787400213","View Full Record in Web of Science")</f>
        <v>View Full Record in Web of Science</v>
      </c>
    </row>
    <row r="691" spans="1:72" x14ac:dyDescent="0.15">
      <c r="A691" t="s">
        <v>72</v>
      </c>
      <c r="B691" t="s">
        <v>9252</v>
      </c>
      <c r="C691" t="s">
        <v>74</v>
      </c>
      <c r="D691" t="s">
        <v>74</v>
      </c>
      <c r="E691" t="s">
        <v>74</v>
      </c>
      <c r="F691" t="s">
        <v>9252</v>
      </c>
      <c r="G691" t="s">
        <v>74</v>
      </c>
      <c r="H691" t="s">
        <v>74</v>
      </c>
      <c r="I691" t="s">
        <v>9253</v>
      </c>
      <c r="J691" t="s">
        <v>3320</v>
      </c>
      <c r="K691" t="s">
        <v>74</v>
      </c>
      <c r="L691" t="s">
        <v>74</v>
      </c>
      <c r="M691" t="s">
        <v>77</v>
      </c>
      <c r="N691" t="s">
        <v>52</v>
      </c>
      <c r="O691" t="s">
        <v>74</v>
      </c>
      <c r="P691" t="s">
        <v>74</v>
      </c>
      <c r="Q691" t="s">
        <v>74</v>
      </c>
      <c r="R691" t="s">
        <v>74</v>
      </c>
      <c r="S691" t="s">
        <v>74</v>
      </c>
      <c r="T691" t="s">
        <v>74</v>
      </c>
      <c r="U691" t="s">
        <v>74</v>
      </c>
      <c r="V691" t="s">
        <v>74</v>
      </c>
      <c r="W691" t="s">
        <v>9254</v>
      </c>
      <c r="X691" t="s">
        <v>9255</v>
      </c>
      <c r="Y691" t="s">
        <v>74</v>
      </c>
      <c r="Z691" t="s">
        <v>74</v>
      </c>
      <c r="AA691" t="s">
        <v>74</v>
      </c>
      <c r="AB691" t="s">
        <v>74</v>
      </c>
      <c r="AC691" t="s">
        <v>74</v>
      </c>
      <c r="AD691" t="s">
        <v>74</v>
      </c>
      <c r="AE691" t="s">
        <v>74</v>
      </c>
      <c r="AF691" t="s">
        <v>74</v>
      </c>
      <c r="AG691">
        <v>7</v>
      </c>
      <c r="AH691">
        <v>0</v>
      </c>
      <c r="AI691">
        <v>0</v>
      </c>
      <c r="AJ691">
        <v>0</v>
      </c>
      <c r="AK691">
        <v>0</v>
      </c>
      <c r="AL691" t="s">
        <v>3328</v>
      </c>
      <c r="AM691" t="s">
        <v>3329</v>
      </c>
      <c r="AN691" t="s">
        <v>3330</v>
      </c>
      <c r="AO691" t="s">
        <v>3331</v>
      </c>
      <c r="AP691" t="s">
        <v>74</v>
      </c>
      <c r="AQ691" t="s">
        <v>74</v>
      </c>
      <c r="AR691" t="s">
        <v>3332</v>
      </c>
      <c r="AS691" t="s">
        <v>3333</v>
      </c>
      <c r="AT691" t="s">
        <v>8459</v>
      </c>
      <c r="AU691">
        <v>2000</v>
      </c>
      <c r="AV691">
        <v>35</v>
      </c>
      <c r="AW691" t="s">
        <v>74</v>
      </c>
      <c r="AX691" t="s">
        <v>74</v>
      </c>
      <c r="AY691" t="s">
        <v>1106</v>
      </c>
      <c r="AZ691" t="s">
        <v>74</v>
      </c>
      <c r="BA691" t="s">
        <v>74</v>
      </c>
      <c r="BB691" t="s">
        <v>9256</v>
      </c>
      <c r="BC691" t="s">
        <v>9257</v>
      </c>
      <c r="BD691" t="s">
        <v>74</v>
      </c>
      <c r="BE691" t="s">
        <v>74</v>
      </c>
      <c r="BF691" t="s">
        <v>74</v>
      </c>
      <c r="BG691" t="s">
        <v>74</v>
      </c>
      <c r="BH691" t="s">
        <v>74</v>
      </c>
      <c r="BI691">
        <v>2</v>
      </c>
      <c r="BJ691" t="s">
        <v>953</v>
      </c>
      <c r="BK691" t="s">
        <v>94</v>
      </c>
      <c r="BL691" t="s">
        <v>953</v>
      </c>
      <c r="BM691" t="s">
        <v>9186</v>
      </c>
      <c r="BN691" t="s">
        <v>74</v>
      </c>
      <c r="BO691" t="s">
        <v>74</v>
      </c>
      <c r="BP691" t="s">
        <v>74</v>
      </c>
      <c r="BQ691" t="s">
        <v>74</v>
      </c>
      <c r="BR691" t="s">
        <v>97</v>
      </c>
      <c r="BS691" t="s">
        <v>9258</v>
      </c>
      <c r="BT691" t="str">
        <f>HYPERLINK("https%3A%2F%2Fwww.webofscience.com%2Fwos%2Fwoscc%2Ffull-record%2FWOS:000089787400280","View Full Record in Web of Science")</f>
        <v>View Full Record in Web of Science</v>
      </c>
    </row>
    <row r="692" spans="1:72" x14ac:dyDescent="0.15">
      <c r="A692" t="s">
        <v>72</v>
      </c>
      <c r="B692" t="s">
        <v>9259</v>
      </c>
      <c r="C692" t="s">
        <v>74</v>
      </c>
      <c r="D692" t="s">
        <v>74</v>
      </c>
      <c r="E692" t="s">
        <v>74</v>
      </c>
      <c r="F692" t="s">
        <v>9259</v>
      </c>
      <c r="G692" t="s">
        <v>74</v>
      </c>
      <c r="H692" t="s">
        <v>74</v>
      </c>
      <c r="I692" t="s">
        <v>9260</v>
      </c>
      <c r="J692" t="s">
        <v>3320</v>
      </c>
      <c r="K692" t="s">
        <v>74</v>
      </c>
      <c r="L692" t="s">
        <v>74</v>
      </c>
      <c r="M692" t="s">
        <v>77</v>
      </c>
      <c r="N692" t="s">
        <v>52</v>
      </c>
      <c r="O692" t="s">
        <v>74</v>
      </c>
      <c r="P692" t="s">
        <v>74</v>
      </c>
      <c r="Q692" t="s">
        <v>74</v>
      </c>
      <c r="R692" t="s">
        <v>74</v>
      </c>
      <c r="S692" t="s">
        <v>74</v>
      </c>
      <c r="T692" t="s">
        <v>74</v>
      </c>
      <c r="U692" t="s">
        <v>74</v>
      </c>
      <c r="V692" t="s">
        <v>74</v>
      </c>
      <c r="W692" t="s">
        <v>9261</v>
      </c>
      <c r="X692" t="s">
        <v>9262</v>
      </c>
      <c r="Y692" t="s">
        <v>74</v>
      </c>
      <c r="Z692" t="s">
        <v>74</v>
      </c>
      <c r="AA692" t="s">
        <v>74</v>
      </c>
      <c r="AB692" t="s">
        <v>74</v>
      </c>
      <c r="AC692" t="s">
        <v>74</v>
      </c>
      <c r="AD692" t="s">
        <v>74</v>
      </c>
      <c r="AE692" t="s">
        <v>74</v>
      </c>
      <c r="AF692" t="s">
        <v>74</v>
      </c>
      <c r="AG692">
        <v>7</v>
      </c>
      <c r="AH692">
        <v>11</v>
      </c>
      <c r="AI692">
        <v>11</v>
      </c>
      <c r="AJ692">
        <v>0</v>
      </c>
      <c r="AK692">
        <v>0</v>
      </c>
      <c r="AL692" t="s">
        <v>3328</v>
      </c>
      <c r="AM692" t="s">
        <v>3329</v>
      </c>
      <c r="AN692" t="s">
        <v>3330</v>
      </c>
      <c r="AO692" t="s">
        <v>3331</v>
      </c>
      <c r="AP692" t="s">
        <v>74</v>
      </c>
      <c r="AQ692" t="s">
        <v>74</v>
      </c>
      <c r="AR692" t="s">
        <v>3332</v>
      </c>
      <c r="AS692" t="s">
        <v>3333</v>
      </c>
      <c r="AT692" t="s">
        <v>8459</v>
      </c>
      <c r="AU692">
        <v>2000</v>
      </c>
      <c r="AV692">
        <v>35</v>
      </c>
      <c r="AW692" t="s">
        <v>74</v>
      </c>
      <c r="AX692" t="s">
        <v>74</v>
      </c>
      <c r="AY692" t="s">
        <v>1106</v>
      </c>
      <c r="AZ692" t="s">
        <v>74</v>
      </c>
      <c r="BA692" t="s">
        <v>74</v>
      </c>
      <c r="BB692" t="s">
        <v>9263</v>
      </c>
      <c r="BC692" t="s">
        <v>9263</v>
      </c>
      <c r="BD692" t="s">
        <v>74</v>
      </c>
      <c r="BE692" t="s">
        <v>74</v>
      </c>
      <c r="BF692" t="s">
        <v>74</v>
      </c>
      <c r="BG692" t="s">
        <v>74</v>
      </c>
      <c r="BH692" t="s">
        <v>74</v>
      </c>
      <c r="BI692">
        <v>1</v>
      </c>
      <c r="BJ692" t="s">
        <v>953</v>
      </c>
      <c r="BK692" t="s">
        <v>94</v>
      </c>
      <c r="BL692" t="s">
        <v>953</v>
      </c>
      <c r="BM692" t="s">
        <v>9186</v>
      </c>
      <c r="BN692" t="s">
        <v>74</v>
      </c>
      <c r="BO692" t="s">
        <v>74</v>
      </c>
      <c r="BP692" t="s">
        <v>74</v>
      </c>
      <c r="BQ692" t="s">
        <v>74</v>
      </c>
      <c r="BR692" t="s">
        <v>97</v>
      </c>
      <c r="BS692" t="s">
        <v>9264</v>
      </c>
      <c r="BT692" t="str">
        <f>HYPERLINK("https%3A%2F%2Fwww.webofscience.com%2Fwos%2Fwoscc%2Ffull-record%2FWOS:000089787400310","View Full Record in Web of Science")</f>
        <v>View Full Record in Web of Science</v>
      </c>
    </row>
    <row r="693" spans="1:72" x14ac:dyDescent="0.15">
      <c r="A693" t="s">
        <v>72</v>
      </c>
      <c r="B693" t="s">
        <v>9265</v>
      </c>
      <c r="C693" t="s">
        <v>74</v>
      </c>
      <c r="D693" t="s">
        <v>74</v>
      </c>
      <c r="E693" t="s">
        <v>74</v>
      </c>
      <c r="F693" t="s">
        <v>9265</v>
      </c>
      <c r="G693" t="s">
        <v>74</v>
      </c>
      <c r="H693" t="s">
        <v>74</v>
      </c>
      <c r="I693" t="s">
        <v>9266</v>
      </c>
      <c r="J693" t="s">
        <v>9267</v>
      </c>
      <c r="K693" t="s">
        <v>74</v>
      </c>
      <c r="L693" t="s">
        <v>74</v>
      </c>
      <c r="M693" t="s">
        <v>77</v>
      </c>
      <c r="N693" t="s">
        <v>78</v>
      </c>
      <c r="O693" t="s">
        <v>74</v>
      </c>
      <c r="P693" t="s">
        <v>74</v>
      </c>
      <c r="Q693" t="s">
        <v>74</v>
      </c>
      <c r="R693" t="s">
        <v>74</v>
      </c>
      <c r="S693" t="s">
        <v>74</v>
      </c>
      <c r="T693" t="s">
        <v>9268</v>
      </c>
      <c r="U693" t="s">
        <v>74</v>
      </c>
      <c r="V693" t="s">
        <v>9269</v>
      </c>
      <c r="W693" t="s">
        <v>9270</v>
      </c>
      <c r="X693" t="s">
        <v>9271</v>
      </c>
      <c r="Y693" t="s">
        <v>9272</v>
      </c>
      <c r="Z693" t="s">
        <v>74</v>
      </c>
      <c r="AA693" t="s">
        <v>74</v>
      </c>
      <c r="AB693" t="s">
        <v>74</v>
      </c>
      <c r="AC693" t="s">
        <v>74</v>
      </c>
      <c r="AD693" t="s">
        <v>74</v>
      </c>
      <c r="AE693" t="s">
        <v>74</v>
      </c>
      <c r="AF693" t="s">
        <v>74</v>
      </c>
      <c r="AG693">
        <v>11</v>
      </c>
      <c r="AH693">
        <v>9</v>
      </c>
      <c r="AI693">
        <v>13</v>
      </c>
      <c r="AJ693">
        <v>0</v>
      </c>
      <c r="AK693">
        <v>1</v>
      </c>
      <c r="AL693" t="s">
        <v>9273</v>
      </c>
      <c r="AM693" t="s">
        <v>9274</v>
      </c>
      <c r="AN693" t="s">
        <v>9275</v>
      </c>
      <c r="AO693" t="s">
        <v>9276</v>
      </c>
      <c r="AP693" t="s">
        <v>74</v>
      </c>
      <c r="AQ693" t="s">
        <v>74</v>
      </c>
      <c r="AR693" t="s">
        <v>9267</v>
      </c>
      <c r="AS693" t="s">
        <v>9277</v>
      </c>
      <c r="AT693" t="s">
        <v>8718</v>
      </c>
      <c r="AU693">
        <v>2000</v>
      </c>
      <c r="AV693">
        <v>92</v>
      </c>
      <c r="AW693">
        <v>5</v>
      </c>
      <c r="AX693" t="s">
        <v>74</v>
      </c>
      <c r="AY693" t="s">
        <v>74</v>
      </c>
      <c r="AZ693" t="s">
        <v>74</v>
      </c>
      <c r="BA693" t="s">
        <v>74</v>
      </c>
      <c r="BB693">
        <v>849</v>
      </c>
      <c r="BC693">
        <v>852</v>
      </c>
      <c r="BD693" t="s">
        <v>74</v>
      </c>
      <c r="BE693" t="s">
        <v>9278</v>
      </c>
      <c r="BF693" t="str">
        <f>HYPERLINK("http://dx.doi.org/10.2307/3761580","http://dx.doi.org/10.2307/3761580")</f>
        <v>http://dx.doi.org/10.2307/3761580</v>
      </c>
      <c r="BG693" t="s">
        <v>74</v>
      </c>
      <c r="BH693" t="s">
        <v>74</v>
      </c>
      <c r="BI693">
        <v>4</v>
      </c>
      <c r="BJ693" t="s">
        <v>9279</v>
      </c>
      <c r="BK693" t="s">
        <v>94</v>
      </c>
      <c r="BL693" t="s">
        <v>9279</v>
      </c>
      <c r="BM693" t="s">
        <v>9280</v>
      </c>
      <c r="BN693" t="s">
        <v>74</v>
      </c>
      <c r="BO693" t="s">
        <v>74</v>
      </c>
      <c r="BP693" t="s">
        <v>74</v>
      </c>
      <c r="BQ693" t="s">
        <v>74</v>
      </c>
      <c r="BR693" t="s">
        <v>97</v>
      </c>
      <c r="BS693" t="s">
        <v>9281</v>
      </c>
      <c r="BT693" t="str">
        <f>HYPERLINK("https%3A%2F%2Fwww.webofscience.com%2Fwos%2Fwoscc%2Ffull-record%2FWOS:000089511200005","View Full Record in Web of Science")</f>
        <v>View Full Record in Web of Science</v>
      </c>
    </row>
    <row r="694" spans="1:72" x14ac:dyDescent="0.15">
      <c r="A694" t="s">
        <v>72</v>
      </c>
      <c r="B694" t="s">
        <v>9282</v>
      </c>
      <c r="C694" t="s">
        <v>74</v>
      </c>
      <c r="D694" t="s">
        <v>74</v>
      </c>
      <c r="E694" t="s">
        <v>74</v>
      </c>
      <c r="F694" t="s">
        <v>9282</v>
      </c>
      <c r="G694" t="s">
        <v>74</v>
      </c>
      <c r="H694" t="s">
        <v>74</v>
      </c>
      <c r="I694" t="s">
        <v>9283</v>
      </c>
      <c r="J694" t="s">
        <v>9284</v>
      </c>
      <c r="K694" t="s">
        <v>74</v>
      </c>
      <c r="L694" t="s">
        <v>74</v>
      </c>
      <c r="M694" t="s">
        <v>77</v>
      </c>
      <c r="N694" t="s">
        <v>78</v>
      </c>
      <c r="O694" t="s">
        <v>74</v>
      </c>
      <c r="P694" t="s">
        <v>74</v>
      </c>
      <c r="Q694" t="s">
        <v>74</v>
      </c>
      <c r="R694" t="s">
        <v>74</v>
      </c>
      <c r="S694" t="s">
        <v>74</v>
      </c>
      <c r="T694" t="s">
        <v>9285</v>
      </c>
      <c r="U694" t="s">
        <v>9286</v>
      </c>
      <c r="V694" t="s">
        <v>9287</v>
      </c>
      <c r="W694" t="s">
        <v>9288</v>
      </c>
      <c r="X694" t="s">
        <v>221</v>
      </c>
      <c r="Y694" t="s">
        <v>9289</v>
      </c>
      <c r="Z694" t="s">
        <v>9290</v>
      </c>
      <c r="AA694" t="s">
        <v>9291</v>
      </c>
      <c r="AB694" t="s">
        <v>74</v>
      </c>
      <c r="AC694" t="s">
        <v>74</v>
      </c>
      <c r="AD694" t="s">
        <v>74</v>
      </c>
      <c r="AE694" t="s">
        <v>74</v>
      </c>
      <c r="AF694" t="s">
        <v>74</v>
      </c>
      <c r="AG694">
        <v>31</v>
      </c>
      <c r="AH694">
        <v>54</v>
      </c>
      <c r="AI694">
        <v>58</v>
      </c>
      <c r="AJ694">
        <v>0</v>
      </c>
      <c r="AK694">
        <v>7</v>
      </c>
      <c r="AL694" t="s">
        <v>813</v>
      </c>
      <c r="AM694" t="s">
        <v>814</v>
      </c>
      <c r="AN694" t="s">
        <v>815</v>
      </c>
      <c r="AO694" t="s">
        <v>9292</v>
      </c>
      <c r="AP694" t="s">
        <v>9293</v>
      </c>
      <c r="AQ694" t="s">
        <v>74</v>
      </c>
      <c r="AR694" t="s">
        <v>9284</v>
      </c>
      <c r="AS694" t="s">
        <v>3424</v>
      </c>
      <c r="AT694" t="s">
        <v>8459</v>
      </c>
      <c r="AU694">
        <v>2000</v>
      </c>
      <c r="AV694">
        <v>43</v>
      </c>
      <c r="AW694" t="s">
        <v>74</v>
      </c>
      <c r="AX694">
        <v>4</v>
      </c>
      <c r="AY694" t="s">
        <v>74</v>
      </c>
      <c r="AZ694" t="s">
        <v>74</v>
      </c>
      <c r="BA694" t="s">
        <v>74</v>
      </c>
      <c r="BB694">
        <v>785</v>
      </c>
      <c r="BC694">
        <v>793</v>
      </c>
      <c r="BD694" t="s">
        <v>74</v>
      </c>
      <c r="BE694" t="s">
        <v>9294</v>
      </c>
      <c r="BF694" t="str">
        <f>HYPERLINK("http://dx.doi.org/10.1111/1475-4983.00149","http://dx.doi.org/10.1111/1475-4983.00149")</f>
        <v>http://dx.doi.org/10.1111/1475-4983.00149</v>
      </c>
      <c r="BG694" t="s">
        <v>74</v>
      </c>
      <c r="BH694" t="s">
        <v>74</v>
      </c>
      <c r="BI694">
        <v>9</v>
      </c>
      <c r="BJ694" t="s">
        <v>3424</v>
      </c>
      <c r="BK694" t="s">
        <v>94</v>
      </c>
      <c r="BL694" t="s">
        <v>3424</v>
      </c>
      <c r="BM694" t="s">
        <v>9295</v>
      </c>
      <c r="BN694" t="s">
        <v>74</v>
      </c>
      <c r="BO694" t="s">
        <v>1755</v>
      </c>
      <c r="BP694" t="s">
        <v>74</v>
      </c>
      <c r="BQ694" t="s">
        <v>74</v>
      </c>
      <c r="BR694" t="s">
        <v>97</v>
      </c>
      <c r="BS694" t="s">
        <v>9296</v>
      </c>
      <c r="BT694" t="str">
        <f>HYPERLINK("https%3A%2F%2Fwww.webofscience.com%2Fwos%2Fwoscc%2Ffull-record%2FWOS:000165294500008","View Full Record in Web of Science")</f>
        <v>View Full Record in Web of Science</v>
      </c>
    </row>
    <row r="695" spans="1:72" x14ac:dyDescent="0.15">
      <c r="A695" t="s">
        <v>72</v>
      </c>
      <c r="B695" t="s">
        <v>9297</v>
      </c>
      <c r="C695" t="s">
        <v>74</v>
      </c>
      <c r="D695" t="s">
        <v>74</v>
      </c>
      <c r="E695" t="s">
        <v>74</v>
      </c>
      <c r="F695" t="s">
        <v>9297</v>
      </c>
      <c r="G695" t="s">
        <v>74</v>
      </c>
      <c r="H695" t="s">
        <v>74</v>
      </c>
      <c r="I695" t="s">
        <v>9298</v>
      </c>
      <c r="J695" t="s">
        <v>9299</v>
      </c>
      <c r="K695" t="s">
        <v>74</v>
      </c>
      <c r="L695" t="s">
        <v>74</v>
      </c>
      <c r="M695" t="s">
        <v>77</v>
      </c>
      <c r="N695" t="s">
        <v>576</v>
      </c>
      <c r="O695" t="s">
        <v>9300</v>
      </c>
      <c r="P695">
        <v>2000</v>
      </c>
      <c r="Q695" t="s">
        <v>9301</v>
      </c>
      <c r="R695" t="s">
        <v>74</v>
      </c>
      <c r="S695" t="s">
        <v>74</v>
      </c>
      <c r="T695" t="s">
        <v>74</v>
      </c>
      <c r="U695" t="s">
        <v>9302</v>
      </c>
      <c r="V695" t="s">
        <v>74</v>
      </c>
      <c r="W695" t="s">
        <v>9303</v>
      </c>
      <c r="X695" t="s">
        <v>9304</v>
      </c>
      <c r="Y695" t="s">
        <v>9305</v>
      </c>
      <c r="Z695" t="s">
        <v>74</v>
      </c>
      <c r="AA695" t="s">
        <v>74</v>
      </c>
      <c r="AB695" t="s">
        <v>74</v>
      </c>
      <c r="AC695" t="s">
        <v>74</v>
      </c>
      <c r="AD695" t="s">
        <v>74</v>
      </c>
      <c r="AE695" t="s">
        <v>74</v>
      </c>
      <c r="AF695" t="s">
        <v>74</v>
      </c>
      <c r="AG695">
        <v>54</v>
      </c>
      <c r="AH695">
        <v>1</v>
      </c>
      <c r="AI695">
        <v>1</v>
      </c>
      <c r="AJ695">
        <v>0</v>
      </c>
      <c r="AK695">
        <v>0</v>
      </c>
      <c r="AL695" t="s">
        <v>9299</v>
      </c>
      <c r="AM695" t="s">
        <v>9306</v>
      </c>
      <c r="AN695" t="s">
        <v>9307</v>
      </c>
      <c r="AO695" t="s">
        <v>9308</v>
      </c>
      <c r="AP695" t="s">
        <v>74</v>
      </c>
      <c r="AQ695" t="s">
        <v>74</v>
      </c>
      <c r="AR695" t="s">
        <v>9309</v>
      </c>
      <c r="AS695" t="s">
        <v>9310</v>
      </c>
      <c r="AT695" t="s">
        <v>8459</v>
      </c>
      <c r="AU695">
        <v>2000</v>
      </c>
      <c r="AV695">
        <v>102</v>
      </c>
      <c r="AW695" t="s">
        <v>74</v>
      </c>
      <c r="AX695" t="s">
        <v>74</v>
      </c>
      <c r="AY695">
        <v>1</v>
      </c>
      <c r="AZ695" t="s">
        <v>74</v>
      </c>
      <c r="BA695" t="s">
        <v>74</v>
      </c>
      <c r="BB695">
        <v>439</v>
      </c>
      <c r="BC695">
        <v>448</v>
      </c>
      <c r="BD695" t="s">
        <v>74</v>
      </c>
      <c r="BE695" t="s">
        <v>74</v>
      </c>
      <c r="BF695" t="s">
        <v>74</v>
      </c>
      <c r="BG695" t="s">
        <v>74</v>
      </c>
      <c r="BH695" t="s">
        <v>74</v>
      </c>
      <c r="BI695">
        <v>10</v>
      </c>
      <c r="BJ695" t="s">
        <v>3757</v>
      </c>
      <c r="BK695" t="s">
        <v>596</v>
      </c>
      <c r="BL695" t="s">
        <v>3758</v>
      </c>
      <c r="BM695" t="s">
        <v>9311</v>
      </c>
      <c r="BN695" t="s">
        <v>74</v>
      </c>
      <c r="BO695" t="s">
        <v>74</v>
      </c>
      <c r="BP695" t="s">
        <v>74</v>
      </c>
      <c r="BQ695" t="s">
        <v>74</v>
      </c>
      <c r="BR695" t="s">
        <v>97</v>
      </c>
      <c r="BS695" t="s">
        <v>9312</v>
      </c>
      <c r="BT695" t="str">
        <f>HYPERLINK("https%3A%2F%2Fwww.webofscience.com%2Fwos%2Fwoscc%2Ffull-record%2FWOS:000166145900057","View Full Record in Web of Science")</f>
        <v>View Full Record in Web of Science</v>
      </c>
    </row>
    <row r="696" spans="1:72" x14ac:dyDescent="0.15">
      <c r="A696" t="s">
        <v>72</v>
      </c>
      <c r="B696" t="s">
        <v>9313</v>
      </c>
      <c r="C696" t="s">
        <v>74</v>
      </c>
      <c r="D696" t="s">
        <v>74</v>
      </c>
      <c r="E696" t="s">
        <v>74</v>
      </c>
      <c r="F696" t="s">
        <v>9313</v>
      </c>
      <c r="G696" t="s">
        <v>74</v>
      </c>
      <c r="H696" t="s">
        <v>74</v>
      </c>
      <c r="I696" t="s">
        <v>9314</v>
      </c>
      <c r="J696" t="s">
        <v>7096</v>
      </c>
      <c r="K696" t="s">
        <v>74</v>
      </c>
      <c r="L696" t="s">
        <v>74</v>
      </c>
      <c r="M696" t="s">
        <v>77</v>
      </c>
      <c r="N696" t="s">
        <v>78</v>
      </c>
      <c r="O696" t="s">
        <v>74</v>
      </c>
      <c r="P696" t="s">
        <v>74</v>
      </c>
      <c r="Q696" t="s">
        <v>74</v>
      </c>
      <c r="R696" t="s">
        <v>74</v>
      </c>
      <c r="S696" t="s">
        <v>74</v>
      </c>
      <c r="T696" t="s">
        <v>74</v>
      </c>
      <c r="U696" t="s">
        <v>9315</v>
      </c>
      <c r="V696" t="s">
        <v>9316</v>
      </c>
      <c r="W696" t="s">
        <v>9317</v>
      </c>
      <c r="X696" t="s">
        <v>9318</v>
      </c>
      <c r="Y696" t="s">
        <v>961</v>
      </c>
      <c r="Z696" t="s">
        <v>9319</v>
      </c>
      <c r="AA696" t="s">
        <v>74</v>
      </c>
      <c r="AB696" t="s">
        <v>74</v>
      </c>
      <c r="AC696" t="s">
        <v>74</v>
      </c>
      <c r="AD696" t="s">
        <v>74</v>
      </c>
      <c r="AE696" t="s">
        <v>74</v>
      </c>
      <c r="AF696" t="s">
        <v>74</v>
      </c>
      <c r="AG696">
        <v>32</v>
      </c>
      <c r="AH696">
        <v>16</v>
      </c>
      <c r="AI696">
        <v>18</v>
      </c>
      <c r="AJ696">
        <v>0</v>
      </c>
      <c r="AK696">
        <v>5</v>
      </c>
      <c r="AL696" t="s">
        <v>2132</v>
      </c>
      <c r="AM696" t="s">
        <v>2133</v>
      </c>
      <c r="AN696" t="s">
        <v>2134</v>
      </c>
      <c r="AO696" t="s">
        <v>7103</v>
      </c>
      <c r="AP696" t="s">
        <v>9320</v>
      </c>
      <c r="AQ696" t="s">
        <v>74</v>
      </c>
      <c r="AR696" t="s">
        <v>7104</v>
      </c>
      <c r="AS696" t="s">
        <v>7105</v>
      </c>
      <c r="AT696" t="s">
        <v>8718</v>
      </c>
      <c r="AU696">
        <v>2000</v>
      </c>
      <c r="AV696">
        <v>73</v>
      </c>
      <c r="AW696">
        <v>5</v>
      </c>
      <c r="AX696" t="s">
        <v>74</v>
      </c>
      <c r="AY696" t="s">
        <v>74</v>
      </c>
      <c r="AZ696" t="s">
        <v>74</v>
      </c>
      <c r="BA696" t="s">
        <v>74</v>
      </c>
      <c r="BB696">
        <v>597</v>
      </c>
      <c r="BC696">
        <v>604</v>
      </c>
      <c r="BD696" t="s">
        <v>74</v>
      </c>
      <c r="BE696" t="s">
        <v>9321</v>
      </c>
      <c r="BF696" t="str">
        <f>HYPERLINK("http://dx.doi.org/10.1086/317753","http://dx.doi.org/10.1086/317753")</f>
        <v>http://dx.doi.org/10.1086/317753</v>
      </c>
      <c r="BG696" t="s">
        <v>74</v>
      </c>
      <c r="BH696" t="s">
        <v>74</v>
      </c>
      <c r="BI696">
        <v>8</v>
      </c>
      <c r="BJ696" t="s">
        <v>5497</v>
      </c>
      <c r="BK696" t="s">
        <v>94</v>
      </c>
      <c r="BL696" t="s">
        <v>5497</v>
      </c>
      <c r="BM696" t="s">
        <v>9322</v>
      </c>
      <c r="BN696">
        <v>11073795</v>
      </c>
      <c r="BO696" t="s">
        <v>74</v>
      </c>
      <c r="BP696" t="s">
        <v>74</v>
      </c>
      <c r="BQ696" t="s">
        <v>74</v>
      </c>
      <c r="BR696" t="s">
        <v>97</v>
      </c>
      <c r="BS696" t="s">
        <v>9323</v>
      </c>
      <c r="BT696" t="str">
        <f>HYPERLINK("https%3A%2F%2Fwww.webofscience.com%2Fwos%2Fwoscc%2Ffull-record%2FWOS:000165760900009","View Full Record in Web of Science")</f>
        <v>View Full Record in Web of Science</v>
      </c>
    </row>
    <row r="697" spans="1:72" x14ac:dyDescent="0.15">
      <c r="A697" t="s">
        <v>72</v>
      </c>
      <c r="B697" t="s">
        <v>9324</v>
      </c>
      <c r="C697" t="s">
        <v>74</v>
      </c>
      <c r="D697" t="s">
        <v>74</v>
      </c>
      <c r="E697" t="s">
        <v>74</v>
      </c>
      <c r="F697" t="s">
        <v>9324</v>
      </c>
      <c r="G697" t="s">
        <v>74</v>
      </c>
      <c r="H697" t="s">
        <v>74</v>
      </c>
      <c r="I697" t="s">
        <v>9325</v>
      </c>
      <c r="J697" t="s">
        <v>9326</v>
      </c>
      <c r="K697" t="s">
        <v>74</v>
      </c>
      <c r="L697" t="s">
        <v>74</v>
      </c>
      <c r="M697" t="s">
        <v>77</v>
      </c>
      <c r="N697" t="s">
        <v>78</v>
      </c>
      <c r="O697" t="s">
        <v>74</v>
      </c>
      <c r="P697" t="s">
        <v>74</v>
      </c>
      <c r="Q697" t="s">
        <v>74</v>
      </c>
      <c r="R697" t="s">
        <v>74</v>
      </c>
      <c r="S697" t="s">
        <v>74</v>
      </c>
      <c r="T697" t="s">
        <v>9327</v>
      </c>
      <c r="U697" t="s">
        <v>9328</v>
      </c>
      <c r="V697" t="s">
        <v>9329</v>
      </c>
      <c r="W697" t="s">
        <v>2360</v>
      </c>
      <c r="X697" t="s">
        <v>2361</v>
      </c>
      <c r="Y697" t="s">
        <v>9330</v>
      </c>
      <c r="Z697" t="s">
        <v>74</v>
      </c>
      <c r="AA697" t="s">
        <v>887</v>
      </c>
      <c r="AB697" t="s">
        <v>2364</v>
      </c>
      <c r="AC697" t="s">
        <v>74</v>
      </c>
      <c r="AD697" t="s">
        <v>74</v>
      </c>
      <c r="AE697" t="s">
        <v>74</v>
      </c>
      <c r="AF697" t="s">
        <v>74</v>
      </c>
      <c r="AG697">
        <v>36</v>
      </c>
      <c r="AH697">
        <v>17</v>
      </c>
      <c r="AI697">
        <v>18</v>
      </c>
      <c r="AJ697">
        <v>1</v>
      </c>
      <c r="AK697">
        <v>7</v>
      </c>
      <c r="AL697" t="s">
        <v>719</v>
      </c>
      <c r="AM697" t="s">
        <v>246</v>
      </c>
      <c r="AN697" t="s">
        <v>720</v>
      </c>
      <c r="AO697" t="s">
        <v>9331</v>
      </c>
      <c r="AP697" t="s">
        <v>74</v>
      </c>
      <c r="AQ697" t="s">
        <v>74</v>
      </c>
      <c r="AR697" t="s">
        <v>9332</v>
      </c>
      <c r="AS697" t="s">
        <v>9333</v>
      </c>
      <c r="AT697" t="s">
        <v>8459</v>
      </c>
      <c r="AU697">
        <v>2000</v>
      </c>
      <c r="AV697">
        <v>25</v>
      </c>
      <c r="AW697">
        <v>3</v>
      </c>
      <c r="AX697" t="s">
        <v>74</v>
      </c>
      <c r="AY697" t="s">
        <v>74</v>
      </c>
      <c r="AZ697" t="s">
        <v>74</v>
      </c>
      <c r="BA697" t="s">
        <v>74</v>
      </c>
      <c r="BB697">
        <v>266</v>
      </c>
      <c r="BC697">
        <v>272</v>
      </c>
      <c r="BD697" t="s">
        <v>74</v>
      </c>
      <c r="BE697" t="s">
        <v>9334</v>
      </c>
      <c r="BF697" t="str">
        <f>HYPERLINK("http://dx.doi.org/10.1046/j.1365-3032.2000.00191.x","http://dx.doi.org/10.1046/j.1365-3032.2000.00191.x")</f>
        <v>http://dx.doi.org/10.1046/j.1365-3032.2000.00191.x</v>
      </c>
      <c r="BG697" t="s">
        <v>74</v>
      </c>
      <c r="BH697" t="s">
        <v>74</v>
      </c>
      <c r="BI697">
        <v>7</v>
      </c>
      <c r="BJ697" t="s">
        <v>8460</v>
      </c>
      <c r="BK697" t="s">
        <v>94</v>
      </c>
      <c r="BL697" t="s">
        <v>8460</v>
      </c>
      <c r="BM697" t="s">
        <v>9335</v>
      </c>
      <c r="BN697" t="s">
        <v>74</v>
      </c>
      <c r="BO697" t="s">
        <v>74</v>
      </c>
      <c r="BP697" t="s">
        <v>74</v>
      </c>
      <c r="BQ697" t="s">
        <v>74</v>
      </c>
      <c r="BR697" t="s">
        <v>97</v>
      </c>
      <c r="BS697" t="s">
        <v>9336</v>
      </c>
      <c r="BT697" t="str">
        <f>HYPERLINK("https%3A%2F%2Fwww.webofscience.com%2Fwos%2Fwoscc%2Ffull-record%2FWOS:000089592200010","View Full Record in Web of Science")</f>
        <v>View Full Record in Web of Science</v>
      </c>
    </row>
    <row r="698" spans="1:72" x14ac:dyDescent="0.15">
      <c r="A698" t="s">
        <v>72</v>
      </c>
      <c r="B698" t="s">
        <v>9337</v>
      </c>
      <c r="C698" t="s">
        <v>74</v>
      </c>
      <c r="D698" t="s">
        <v>74</v>
      </c>
      <c r="E698" t="s">
        <v>74</v>
      </c>
      <c r="F698" t="s">
        <v>9337</v>
      </c>
      <c r="G698" t="s">
        <v>74</v>
      </c>
      <c r="H698" t="s">
        <v>74</v>
      </c>
      <c r="I698" t="s">
        <v>9338</v>
      </c>
      <c r="J698" t="s">
        <v>9339</v>
      </c>
      <c r="K698" t="s">
        <v>74</v>
      </c>
      <c r="L698" t="s">
        <v>74</v>
      </c>
      <c r="M698" t="s">
        <v>77</v>
      </c>
      <c r="N698" t="s">
        <v>576</v>
      </c>
      <c r="O698" t="s">
        <v>9340</v>
      </c>
      <c r="P698" t="s">
        <v>9341</v>
      </c>
      <c r="Q698" t="s">
        <v>7079</v>
      </c>
      <c r="R698" t="s">
        <v>74</v>
      </c>
      <c r="S698" t="s">
        <v>74</v>
      </c>
      <c r="T698" t="s">
        <v>74</v>
      </c>
      <c r="U698" t="s">
        <v>9342</v>
      </c>
      <c r="V698" t="s">
        <v>9343</v>
      </c>
      <c r="W698" t="s">
        <v>9344</v>
      </c>
      <c r="X698" t="s">
        <v>9345</v>
      </c>
      <c r="Y698" t="s">
        <v>1280</v>
      </c>
      <c r="Z698" t="s">
        <v>835</v>
      </c>
      <c r="AA698" t="s">
        <v>74</v>
      </c>
      <c r="AB698" t="s">
        <v>74</v>
      </c>
      <c r="AC698" t="s">
        <v>74</v>
      </c>
      <c r="AD698" t="s">
        <v>74</v>
      </c>
      <c r="AE698" t="s">
        <v>74</v>
      </c>
      <c r="AF698" t="s">
        <v>74</v>
      </c>
      <c r="AG698">
        <v>93</v>
      </c>
      <c r="AH698">
        <v>104</v>
      </c>
      <c r="AI698">
        <v>119</v>
      </c>
      <c r="AJ698">
        <v>0</v>
      </c>
      <c r="AK698">
        <v>38</v>
      </c>
      <c r="AL698" t="s">
        <v>245</v>
      </c>
      <c r="AM698" t="s">
        <v>246</v>
      </c>
      <c r="AN698" t="s">
        <v>247</v>
      </c>
      <c r="AO698" t="s">
        <v>9346</v>
      </c>
      <c r="AP698" t="s">
        <v>74</v>
      </c>
      <c r="AQ698" t="s">
        <v>74</v>
      </c>
      <c r="AR698" t="s">
        <v>9347</v>
      </c>
      <c r="AS698" t="s">
        <v>9348</v>
      </c>
      <c r="AT698" t="s">
        <v>8459</v>
      </c>
      <c r="AU698">
        <v>2000</v>
      </c>
      <c r="AV698">
        <v>48</v>
      </c>
      <c r="AW698">
        <v>11</v>
      </c>
      <c r="AX698" t="s">
        <v>74</v>
      </c>
      <c r="AY698" t="s">
        <v>74</v>
      </c>
      <c r="AZ698" t="s">
        <v>74</v>
      </c>
      <c r="BA698" t="s">
        <v>74</v>
      </c>
      <c r="BB698">
        <v>1065</v>
      </c>
      <c r="BC698">
        <v>1075</v>
      </c>
      <c r="BD698" t="s">
        <v>74</v>
      </c>
      <c r="BE698" t="s">
        <v>9349</v>
      </c>
      <c r="BF698" t="str">
        <f>HYPERLINK("http://dx.doi.org/10.1016/S0032-0633(00)00080-5","http://dx.doi.org/10.1016/S0032-0633(00)00080-5")</f>
        <v>http://dx.doi.org/10.1016/S0032-0633(00)00080-5</v>
      </c>
      <c r="BG698" t="s">
        <v>74</v>
      </c>
      <c r="BH698" t="s">
        <v>74</v>
      </c>
      <c r="BI698">
        <v>11</v>
      </c>
      <c r="BJ698" t="s">
        <v>909</v>
      </c>
      <c r="BK698" t="s">
        <v>2763</v>
      </c>
      <c r="BL698" t="s">
        <v>909</v>
      </c>
      <c r="BM698" t="s">
        <v>9350</v>
      </c>
      <c r="BN698" t="s">
        <v>74</v>
      </c>
      <c r="BO698" t="s">
        <v>74</v>
      </c>
      <c r="BP698" t="s">
        <v>74</v>
      </c>
      <c r="BQ698" t="s">
        <v>74</v>
      </c>
      <c r="BR698" t="s">
        <v>97</v>
      </c>
      <c r="BS698" t="s">
        <v>9351</v>
      </c>
      <c r="BT698" t="str">
        <f>HYPERLINK("https%3A%2F%2Fwww.webofscience.com%2Fwos%2Fwoscc%2Ffull-record%2FWOS:000165260900007","View Full Record in Web of Science")</f>
        <v>View Full Record in Web of Science</v>
      </c>
    </row>
    <row r="699" spans="1:72" x14ac:dyDescent="0.15">
      <c r="A699" t="s">
        <v>72</v>
      </c>
      <c r="B699" t="s">
        <v>9352</v>
      </c>
      <c r="C699" t="s">
        <v>74</v>
      </c>
      <c r="D699" t="s">
        <v>74</v>
      </c>
      <c r="E699" t="s">
        <v>74</v>
      </c>
      <c r="F699" t="s">
        <v>9352</v>
      </c>
      <c r="G699" t="s">
        <v>74</v>
      </c>
      <c r="H699" t="s">
        <v>74</v>
      </c>
      <c r="I699" t="s">
        <v>9353</v>
      </c>
      <c r="J699" t="s">
        <v>9354</v>
      </c>
      <c r="K699" t="s">
        <v>74</v>
      </c>
      <c r="L699" t="s">
        <v>74</v>
      </c>
      <c r="M699" t="s">
        <v>77</v>
      </c>
      <c r="N699" t="s">
        <v>78</v>
      </c>
      <c r="O699" t="s">
        <v>74</v>
      </c>
      <c r="P699" t="s">
        <v>74</v>
      </c>
      <c r="Q699" t="s">
        <v>74</v>
      </c>
      <c r="R699" t="s">
        <v>74</v>
      </c>
      <c r="S699" t="s">
        <v>74</v>
      </c>
      <c r="T699" t="s">
        <v>9355</v>
      </c>
      <c r="U699" t="s">
        <v>9356</v>
      </c>
      <c r="V699" t="s">
        <v>9357</v>
      </c>
      <c r="W699" t="s">
        <v>9358</v>
      </c>
      <c r="X699" t="s">
        <v>1250</v>
      </c>
      <c r="Y699" t="s">
        <v>9359</v>
      </c>
      <c r="Z699" t="s">
        <v>9360</v>
      </c>
      <c r="AA699" t="s">
        <v>9361</v>
      </c>
      <c r="AB699" t="s">
        <v>9362</v>
      </c>
      <c r="AC699" t="s">
        <v>74</v>
      </c>
      <c r="AD699" t="s">
        <v>74</v>
      </c>
      <c r="AE699" t="s">
        <v>74</v>
      </c>
      <c r="AF699" t="s">
        <v>74</v>
      </c>
      <c r="AG699">
        <v>39</v>
      </c>
      <c r="AH699">
        <v>142</v>
      </c>
      <c r="AI699">
        <v>159</v>
      </c>
      <c r="AJ699">
        <v>3</v>
      </c>
      <c r="AK699">
        <v>36</v>
      </c>
      <c r="AL699" t="s">
        <v>906</v>
      </c>
      <c r="AM699" t="s">
        <v>160</v>
      </c>
      <c r="AN699" t="s">
        <v>890</v>
      </c>
      <c r="AO699" t="s">
        <v>9363</v>
      </c>
      <c r="AP699" t="s">
        <v>9364</v>
      </c>
      <c r="AQ699" t="s">
        <v>74</v>
      </c>
      <c r="AR699" t="s">
        <v>9354</v>
      </c>
      <c r="AS699" t="s">
        <v>9365</v>
      </c>
      <c r="AT699" t="s">
        <v>8459</v>
      </c>
      <c r="AU699">
        <v>2000</v>
      </c>
      <c r="AV699">
        <v>211</v>
      </c>
      <c r="AW699">
        <v>4</v>
      </c>
      <c r="AX699" t="s">
        <v>74</v>
      </c>
      <c r="AY699" t="s">
        <v>74</v>
      </c>
      <c r="AZ699" t="s">
        <v>74</v>
      </c>
      <c r="BA699" t="s">
        <v>74</v>
      </c>
      <c r="BB699">
        <v>555</v>
      </c>
      <c r="BC699">
        <v>562</v>
      </c>
      <c r="BD699" t="s">
        <v>74</v>
      </c>
      <c r="BE699" t="s">
        <v>9366</v>
      </c>
      <c r="BF699" t="str">
        <f>HYPERLINK("http://dx.doi.org/10.1007/s004250000313","http://dx.doi.org/10.1007/s004250000313")</f>
        <v>http://dx.doi.org/10.1007/s004250000313</v>
      </c>
      <c r="BG699" t="s">
        <v>74</v>
      </c>
      <c r="BH699" t="s">
        <v>74</v>
      </c>
      <c r="BI699">
        <v>8</v>
      </c>
      <c r="BJ699" t="s">
        <v>3818</v>
      </c>
      <c r="BK699" t="s">
        <v>94</v>
      </c>
      <c r="BL699" t="s">
        <v>3818</v>
      </c>
      <c r="BM699" t="s">
        <v>9367</v>
      </c>
      <c r="BN699">
        <v>11030555</v>
      </c>
      <c r="BO699" t="s">
        <v>74</v>
      </c>
      <c r="BP699" t="s">
        <v>74</v>
      </c>
      <c r="BQ699" t="s">
        <v>74</v>
      </c>
      <c r="BR699" t="s">
        <v>97</v>
      </c>
      <c r="BS699" t="s">
        <v>9368</v>
      </c>
      <c r="BT699" t="str">
        <f>HYPERLINK("https%3A%2F%2Fwww.webofscience.com%2Fwos%2Fwoscc%2Ffull-record%2FWOS:000089516200013","View Full Record in Web of Science")</f>
        <v>View Full Record in Web of Science</v>
      </c>
    </row>
    <row r="700" spans="1:72" x14ac:dyDescent="0.15">
      <c r="A700" t="s">
        <v>72</v>
      </c>
      <c r="B700" t="s">
        <v>9369</v>
      </c>
      <c r="C700" t="s">
        <v>74</v>
      </c>
      <c r="D700" t="s">
        <v>74</v>
      </c>
      <c r="E700" t="s">
        <v>74</v>
      </c>
      <c r="F700" t="s">
        <v>9369</v>
      </c>
      <c r="G700" t="s">
        <v>74</v>
      </c>
      <c r="H700" t="s">
        <v>74</v>
      </c>
      <c r="I700" t="s">
        <v>9370</v>
      </c>
      <c r="J700" t="s">
        <v>3842</v>
      </c>
      <c r="K700" t="s">
        <v>74</v>
      </c>
      <c r="L700" t="s">
        <v>74</v>
      </c>
      <c r="M700" t="s">
        <v>77</v>
      </c>
      <c r="N700" t="s">
        <v>78</v>
      </c>
      <c r="O700" t="s">
        <v>74</v>
      </c>
      <c r="P700" t="s">
        <v>74</v>
      </c>
      <c r="Q700" t="s">
        <v>74</v>
      </c>
      <c r="R700" t="s">
        <v>74</v>
      </c>
      <c r="S700" t="s">
        <v>74</v>
      </c>
      <c r="T700" t="s">
        <v>74</v>
      </c>
      <c r="U700" t="s">
        <v>9371</v>
      </c>
      <c r="V700" t="s">
        <v>9372</v>
      </c>
      <c r="W700" t="s">
        <v>9373</v>
      </c>
      <c r="X700" t="s">
        <v>9084</v>
      </c>
      <c r="Y700" t="s">
        <v>9374</v>
      </c>
      <c r="Z700" t="s">
        <v>8770</v>
      </c>
      <c r="AA700" t="s">
        <v>9375</v>
      </c>
      <c r="AB700" t="s">
        <v>9086</v>
      </c>
      <c r="AC700" t="s">
        <v>74</v>
      </c>
      <c r="AD700" t="s">
        <v>74</v>
      </c>
      <c r="AE700" t="s">
        <v>74</v>
      </c>
      <c r="AF700" t="s">
        <v>74</v>
      </c>
      <c r="AG700">
        <v>37</v>
      </c>
      <c r="AH700">
        <v>24</v>
      </c>
      <c r="AI700">
        <v>25</v>
      </c>
      <c r="AJ700">
        <v>0</v>
      </c>
      <c r="AK700">
        <v>1</v>
      </c>
      <c r="AL700" t="s">
        <v>906</v>
      </c>
      <c r="AM700" t="s">
        <v>160</v>
      </c>
      <c r="AN700" t="s">
        <v>890</v>
      </c>
      <c r="AO700" t="s">
        <v>3848</v>
      </c>
      <c r="AP700" t="s">
        <v>74</v>
      </c>
      <c r="AQ700" t="s">
        <v>74</v>
      </c>
      <c r="AR700" t="s">
        <v>3849</v>
      </c>
      <c r="AS700" t="s">
        <v>3850</v>
      </c>
      <c r="AT700" t="s">
        <v>8459</v>
      </c>
      <c r="AU700">
        <v>2000</v>
      </c>
      <c r="AV700">
        <v>23</v>
      </c>
      <c r="AW700">
        <v>9</v>
      </c>
      <c r="AX700" t="s">
        <v>74</v>
      </c>
      <c r="AY700" t="s">
        <v>74</v>
      </c>
      <c r="AZ700" t="s">
        <v>74</v>
      </c>
      <c r="BA700" t="s">
        <v>74</v>
      </c>
      <c r="BB700">
        <v>593</v>
      </c>
      <c r="BC700">
        <v>603</v>
      </c>
      <c r="BD700" t="s">
        <v>74</v>
      </c>
      <c r="BE700" t="s">
        <v>9376</v>
      </c>
      <c r="BF700" t="str">
        <f>HYPERLINK("http://dx.doi.org/10.1007/s003000000125","http://dx.doi.org/10.1007/s003000000125")</f>
        <v>http://dx.doi.org/10.1007/s003000000125</v>
      </c>
      <c r="BG700" t="s">
        <v>74</v>
      </c>
      <c r="BH700" t="s">
        <v>74</v>
      </c>
      <c r="BI700">
        <v>11</v>
      </c>
      <c r="BJ700" t="s">
        <v>3852</v>
      </c>
      <c r="BK700" t="s">
        <v>94</v>
      </c>
      <c r="BL700" t="s">
        <v>1103</v>
      </c>
      <c r="BM700" t="s">
        <v>9377</v>
      </c>
      <c r="BN700" t="s">
        <v>74</v>
      </c>
      <c r="BO700" t="s">
        <v>74</v>
      </c>
      <c r="BP700" t="s">
        <v>74</v>
      </c>
      <c r="BQ700" t="s">
        <v>74</v>
      </c>
      <c r="BR700" t="s">
        <v>97</v>
      </c>
      <c r="BS700" t="s">
        <v>9378</v>
      </c>
      <c r="BT700" t="str">
        <f>HYPERLINK("https%3A%2F%2Fwww.webofscience.com%2Fwos%2Fwoscc%2Ffull-record%2FWOS:000089208600001","View Full Record in Web of Science")</f>
        <v>View Full Record in Web of Science</v>
      </c>
    </row>
    <row r="701" spans="1:72" x14ac:dyDescent="0.15">
      <c r="A701" t="s">
        <v>72</v>
      </c>
      <c r="B701" t="s">
        <v>9379</v>
      </c>
      <c r="C701" t="s">
        <v>74</v>
      </c>
      <c r="D701" t="s">
        <v>74</v>
      </c>
      <c r="E701" t="s">
        <v>74</v>
      </c>
      <c r="F701" t="s">
        <v>9379</v>
      </c>
      <c r="G701" t="s">
        <v>74</v>
      </c>
      <c r="H701" t="s">
        <v>74</v>
      </c>
      <c r="I701" t="s">
        <v>9380</v>
      </c>
      <c r="J701" t="s">
        <v>3842</v>
      </c>
      <c r="K701" t="s">
        <v>74</v>
      </c>
      <c r="L701" t="s">
        <v>74</v>
      </c>
      <c r="M701" t="s">
        <v>77</v>
      </c>
      <c r="N701" t="s">
        <v>78</v>
      </c>
      <c r="O701" t="s">
        <v>74</v>
      </c>
      <c r="P701" t="s">
        <v>74</v>
      </c>
      <c r="Q701" t="s">
        <v>74</v>
      </c>
      <c r="R701" t="s">
        <v>74</v>
      </c>
      <c r="S701" t="s">
        <v>74</v>
      </c>
      <c r="T701" t="s">
        <v>74</v>
      </c>
      <c r="U701" t="s">
        <v>9381</v>
      </c>
      <c r="V701" t="s">
        <v>9382</v>
      </c>
      <c r="W701" t="s">
        <v>3175</v>
      </c>
      <c r="X701" t="s">
        <v>1250</v>
      </c>
      <c r="Y701" t="s">
        <v>9383</v>
      </c>
      <c r="Z701" t="s">
        <v>74</v>
      </c>
      <c r="AA701" t="s">
        <v>9384</v>
      </c>
      <c r="AB701" t="s">
        <v>9385</v>
      </c>
      <c r="AC701" t="s">
        <v>74</v>
      </c>
      <c r="AD701" t="s">
        <v>74</v>
      </c>
      <c r="AE701" t="s">
        <v>74</v>
      </c>
      <c r="AF701" t="s">
        <v>74</v>
      </c>
      <c r="AG701">
        <v>38</v>
      </c>
      <c r="AH701">
        <v>42</v>
      </c>
      <c r="AI701">
        <v>49</v>
      </c>
      <c r="AJ701">
        <v>0</v>
      </c>
      <c r="AK701">
        <v>17</v>
      </c>
      <c r="AL701" t="s">
        <v>159</v>
      </c>
      <c r="AM701" t="s">
        <v>160</v>
      </c>
      <c r="AN701" t="s">
        <v>161</v>
      </c>
      <c r="AO701" t="s">
        <v>3848</v>
      </c>
      <c r="AP701" t="s">
        <v>74</v>
      </c>
      <c r="AQ701" t="s">
        <v>74</v>
      </c>
      <c r="AR701" t="s">
        <v>3849</v>
      </c>
      <c r="AS701" t="s">
        <v>3850</v>
      </c>
      <c r="AT701" t="s">
        <v>8459</v>
      </c>
      <c r="AU701">
        <v>2000</v>
      </c>
      <c r="AV701">
        <v>23</v>
      </c>
      <c r="AW701">
        <v>9</v>
      </c>
      <c r="AX701" t="s">
        <v>74</v>
      </c>
      <c r="AY701" t="s">
        <v>74</v>
      </c>
      <c r="AZ701" t="s">
        <v>74</v>
      </c>
      <c r="BA701" t="s">
        <v>74</v>
      </c>
      <c r="BB701">
        <v>609</v>
      </c>
      <c r="BC701">
        <v>618</v>
      </c>
      <c r="BD701" t="s">
        <v>74</v>
      </c>
      <c r="BE701" t="s">
        <v>9386</v>
      </c>
      <c r="BF701" t="str">
        <f>HYPERLINK("http://dx.doi.org/10.1007/s003000000130","http://dx.doi.org/10.1007/s003000000130")</f>
        <v>http://dx.doi.org/10.1007/s003000000130</v>
      </c>
      <c r="BG701" t="s">
        <v>74</v>
      </c>
      <c r="BH701" t="s">
        <v>74</v>
      </c>
      <c r="BI701">
        <v>10</v>
      </c>
      <c r="BJ701" t="s">
        <v>3852</v>
      </c>
      <c r="BK701" t="s">
        <v>94</v>
      </c>
      <c r="BL701" t="s">
        <v>1103</v>
      </c>
      <c r="BM701" t="s">
        <v>9377</v>
      </c>
      <c r="BN701" t="s">
        <v>74</v>
      </c>
      <c r="BO701" t="s">
        <v>74</v>
      </c>
      <c r="BP701" t="s">
        <v>74</v>
      </c>
      <c r="BQ701" t="s">
        <v>74</v>
      </c>
      <c r="BR701" t="s">
        <v>97</v>
      </c>
      <c r="BS701" t="s">
        <v>9387</v>
      </c>
      <c r="BT701" t="str">
        <f>HYPERLINK("https%3A%2F%2Fwww.webofscience.com%2Fwos%2Fwoscc%2Ffull-record%2FWOS:000089208600003","View Full Record in Web of Science")</f>
        <v>View Full Record in Web of Science</v>
      </c>
    </row>
    <row r="702" spans="1:72" x14ac:dyDescent="0.15">
      <c r="A702" t="s">
        <v>72</v>
      </c>
      <c r="B702" t="s">
        <v>9388</v>
      </c>
      <c r="C702" t="s">
        <v>74</v>
      </c>
      <c r="D702" t="s">
        <v>74</v>
      </c>
      <c r="E702" t="s">
        <v>74</v>
      </c>
      <c r="F702" t="s">
        <v>9388</v>
      </c>
      <c r="G702" t="s">
        <v>74</v>
      </c>
      <c r="H702" t="s">
        <v>74</v>
      </c>
      <c r="I702" t="s">
        <v>9389</v>
      </c>
      <c r="J702" t="s">
        <v>3842</v>
      </c>
      <c r="K702" t="s">
        <v>74</v>
      </c>
      <c r="L702" t="s">
        <v>74</v>
      </c>
      <c r="M702" t="s">
        <v>77</v>
      </c>
      <c r="N702" t="s">
        <v>78</v>
      </c>
      <c r="O702" t="s">
        <v>74</v>
      </c>
      <c r="P702" t="s">
        <v>74</v>
      </c>
      <c r="Q702" t="s">
        <v>74</v>
      </c>
      <c r="R702" t="s">
        <v>74</v>
      </c>
      <c r="S702" t="s">
        <v>74</v>
      </c>
      <c r="T702" t="s">
        <v>74</v>
      </c>
      <c r="U702" t="s">
        <v>9390</v>
      </c>
      <c r="V702" t="s">
        <v>9391</v>
      </c>
      <c r="W702" t="s">
        <v>9392</v>
      </c>
      <c r="X702" t="s">
        <v>9393</v>
      </c>
      <c r="Y702" t="s">
        <v>9394</v>
      </c>
      <c r="Z702" t="s">
        <v>74</v>
      </c>
      <c r="AA702" t="s">
        <v>74</v>
      </c>
      <c r="AB702" t="s">
        <v>74</v>
      </c>
      <c r="AC702" t="s">
        <v>74</v>
      </c>
      <c r="AD702" t="s">
        <v>74</v>
      </c>
      <c r="AE702" t="s">
        <v>74</v>
      </c>
      <c r="AF702" t="s">
        <v>74</v>
      </c>
      <c r="AG702">
        <v>40</v>
      </c>
      <c r="AH702">
        <v>32</v>
      </c>
      <c r="AI702">
        <v>38</v>
      </c>
      <c r="AJ702">
        <v>1</v>
      </c>
      <c r="AK702">
        <v>10</v>
      </c>
      <c r="AL702" t="s">
        <v>159</v>
      </c>
      <c r="AM702" t="s">
        <v>160</v>
      </c>
      <c r="AN702" t="s">
        <v>161</v>
      </c>
      <c r="AO702" t="s">
        <v>3848</v>
      </c>
      <c r="AP702" t="s">
        <v>74</v>
      </c>
      <c r="AQ702" t="s">
        <v>74</v>
      </c>
      <c r="AR702" t="s">
        <v>3849</v>
      </c>
      <c r="AS702" t="s">
        <v>3850</v>
      </c>
      <c r="AT702" t="s">
        <v>8459</v>
      </c>
      <c r="AU702">
        <v>2000</v>
      </c>
      <c r="AV702">
        <v>23</v>
      </c>
      <c r="AW702">
        <v>9</v>
      </c>
      <c r="AX702" t="s">
        <v>74</v>
      </c>
      <c r="AY702" t="s">
        <v>74</v>
      </c>
      <c r="AZ702" t="s">
        <v>74</v>
      </c>
      <c r="BA702" t="s">
        <v>74</v>
      </c>
      <c r="BB702">
        <v>619</v>
      </c>
      <c r="BC702">
        <v>625</v>
      </c>
      <c r="BD702" t="s">
        <v>74</v>
      </c>
      <c r="BE702" t="s">
        <v>9395</v>
      </c>
      <c r="BF702" t="str">
        <f>HYPERLINK("http://dx.doi.org/10.1007/s003000000131","http://dx.doi.org/10.1007/s003000000131")</f>
        <v>http://dx.doi.org/10.1007/s003000000131</v>
      </c>
      <c r="BG702" t="s">
        <v>74</v>
      </c>
      <c r="BH702" t="s">
        <v>74</v>
      </c>
      <c r="BI702">
        <v>7</v>
      </c>
      <c r="BJ702" t="s">
        <v>3852</v>
      </c>
      <c r="BK702" t="s">
        <v>94</v>
      </c>
      <c r="BL702" t="s">
        <v>1103</v>
      </c>
      <c r="BM702" t="s">
        <v>9377</v>
      </c>
      <c r="BN702" t="s">
        <v>74</v>
      </c>
      <c r="BO702" t="s">
        <v>74</v>
      </c>
      <c r="BP702" t="s">
        <v>74</v>
      </c>
      <c r="BQ702" t="s">
        <v>74</v>
      </c>
      <c r="BR702" t="s">
        <v>97</v>
      </c>
      <c r="BS702" t="s">
        <v>9396</v>
      </c>
      <c r="BT702" t="str">
        <f>HYPERLINK("https%3A%2F%2Fwww.webofscience.com%2Fwos%2Fwoscc%2Ffull-record%2FWOS:000089208600004","View Full Record in Web of Science")</f>
        <v>View Full Record in Web of Science</v>
      </c>
    </row>
    <row r="703" spans="1:72" x14ac:dyDescent="0.15">
      <c r="A703" t="s">
        <v>72</v>
      </c>
      <c r="B703" t="s">
        <v>9397</v>
      </c>
      <c r="C703" t="s">
        <v>74</v>
      </c>
      <c r="D703" t="s">
        <v>74</v>
      </c>
      <c r="E703" t="s">
        <v>74</v>
      </c>
      <c r="F703" t="s">
        <v>9397</v>
      </c>
      <c r="G703" t="s">
        <v>74</v>
      </c>
      <c r="H703" t="s">
        <v>74</v>
      </c>
      <c r="I703" t="s">
        <v>9398</v>
      </c>
      <c r="J703" t="s">
        <v>3842</v>
      </c>
      <c r="K703" t="s">
        <v>74</v>
      </c>
      <c r="L703" t="s">
        <v>74</v>
      </c>
      <c r="M703" t="s">
        <v>77</v>
      </c>
      <c r="N703" t="s">
        <v>78</v>
      </c>
      <c r="O703" t="s">
        <v>74</v>
      </c>
      <c r="P703" t="s">
        <v>74</v>
      </c>
      <c r="Q703" t="s">
        <v>74</v>
      </c>
      <c r="R703" t="s">
        <v>74</v>
      </c>
      <c r="S703" t="s">
        <v>74</v>
      </c>
      <c r="T703" t="s">
        <v>74</v>
      </c>
      <c r="U703" t="s">
        <v>9399</v>
      </c>
      <c r="V703" t="s">
        <v>9400</v>
      </c>
      <c r="W703" t="s">
        <v>9401</v>
      </c>
      <c r="X703" t="s">
        <v>9402</v>
      </c>
      <c r="Y703" t="s">
        <v>9403</v>
      </c>
      <c r="Z703" t="s">
        <v>9404</v>
      </c>
      <c r="AA703" t="s">
        <v>9405</v>
      </c>
      <c r="AB703" t="s">
        <v>9406</v>
      </c>
      <c r="AC703" t="s">
        <v>74</v>
      </c>
      <c r="AD703" t="s">
        <v>74</v>
      </c>
      <c r="AE703" t="s">
        <v>74</v>
      </c>
      <c r="AF703" t="s">
        <v>74</v>
      </c>
      <c r="AG703">
        <v>38</v>
      </c>
      <c r="AH703">
        <v>16</v>
      </c>
      <c r="AI703">
        <v>16</v>
      </c>
      <c r="AJ703">
        <v>1</v>
      </c>
      <c r="AK703">
        <v>18</v>
      </c>
      <c r="AL703" t="s">
        <v>906</v>
      </c>
      <c r="AM703" t="s">
        <v>160</v>
      </c>
      <c r="AN703" t="s">
        <v>890</v>
      </c>
      <c r="AO703" t="s">
        <v>3848</v>
      </c>
      <c r="AP703" t="s">
        <v>3871</v>
      </c>
      <c r="AQ703" t="s">
        <v>74</v>
      </c>
      <c r="AR703" t="s">
        <v>3849</v>
      </c>
      <c r="AS703" t="s">
        <v>3850</v>
      </c>
      <c r="AT703" t="s">
        <v>8459</v>
      </c>
      <c r="AU703">
        <v>2000</v>
      </c>
      <c r="AV703">
        <v>23</v>
      </c>
      <c r="AW703">
        <v>9</v>
      </c>
      <c r="AX703" t="s">
        <v>74</v>
      </c>
      <c r="AY703" t="s">
        <v>74</v>
      </c>
      <c r="AZ703" t="s">
        <v>74</v>
      </c>
      <c r="BA703" t="s">
        <v>74</v>
      </c>
      <c r="BB703">
        <v>626</v>
      </c>
      <c r="BC703">
        <v>634</v>
      </c>
      <c r="BD703" t="s">
        <v>74</v>
      </c>
      <c r="BE703" t="s">
        <v>9407</v>
      </c>
      <c r="BF703" t="str">
        <f>HYPERLINK("http://dx.doi.org/10.1007/s003000000132","http://dx.doi.org/10.1007/s003000000132")</f>
        <v>http://dx.doi.org/10.1007/s003000000132</v>
      </c>
      <c r="BG703" t="s">
        <v>74</v>
      </c>
      <c r="BH703" t="s">
        <v>74</v>
      </c>
      <c r="BI703">
        <v>9</v>
      </c>
      <c r="BJ703" t="s">
        <v>3852</v>
      </c>
      <c r="BK703" t="s">
        <v>94</v>
      </c>
      <c r="BL703" t="s">
        <v>1103</v>
      </c>
      <c r="BM703" t="s">
        <v>9377</v>
      </c>
      <c r="BN703" t="s">
        <v>74</v>
      </c>
      <c r="BO703" t="s">
        <v>74</v>
      </c>
      <c r="BP703" t="s">
        <v>74</v>
      </c>
      <c r="BQ703" t="s">
        <v>74</v>
      </c>
      <c r="BR703" t="s">
        <v>97</v>
      </c>
      <c r="BS703" t="s">
        <v>9408</v>
      </c>
      <c r="BT703" t="str">
        <f>HYPERLINK("https%3A%2F%2Fwww.webofscience.com%2Fwos%2Fwoscc%2Ffull-record%2FWOS:000089208600005","View Full Record in Web of Science")</f>
        <v>View Full Record in Web of Science</v>
      </c>
    </row>
    <row r="704" spans="1:72" x14ac:dyDescent="0.15">
      <c r="A704" t="s">
        <v>72</v>
      </c>
      <c r="B704" t="s">
        <v>9409</v>
      </c>
      <c r="C704" t="s">
        <v>74</v>
      </c>
      <c r="D704" t="s">
        <v>74</v>
      </c>
      <c r="E704" t="s">
        <v>74</v>
      </c>
      <c r="F704" t="s">
        <v>9409</v>
      </c>
      <c r="G704" t="s">
        <v>74</v>
      </c>
      <c r="H704" t="s">
        <v>74</v>
      </c>
      <c r="I704" t="s">
        <v>9410</v>
      </c>
      <c r="J704" t="s">
        <v>3842</v>
      </c>
      <c r="K704" t="s">
        <v>74</v>
      </c>
      <c r="L704" t="s">
        <v>74</v>
      </c>
      <c r="M704" t="s">
        <v>77</v>
      </c>
      <c r="N704" t="s">
        <v>78</v>
      </c>
      <c r="O704" t="s">
        <v>74</v>
      </c>
      <c r="P704" t="s">
        <v>74</v>
      </c>
      <c r="Q704" t="s">
        <v>74</v>
      </c>
      <c r="R704" t="s">
        <v>74</v>
      </c>
      <c r="S704" t="s">
        <v>74</v>
      </c>
      <c r="T704" t="s">
        <v>74</v>
      </c>
      <c r="U704" t="s">
        <v>9411</v>
      </c>
      <c r="V704" t="s">
        <v>9412</v>
      </c>
      <c r="W704" t="s">
        <v>3869</v>
      </c>
      <c r="X704" t="s">
        <v>667</v>
      </c>
      <c r="Y704" t="s">
        <v>9413</v>
      </c>
      <c r="Z704" t="s">
        <v>74</v>
      </c>
      <c r="AA704" t="s">
        <v>74</v>
      </c>
      <c r="AB704" t="s">
        <v>74</v>
      </c>
      <c r="AC704" t="s">
        <v>74</v>
      </c>
      <c r="AD704" t="s">
        <v>74</v>
      </c>
      <c r="AE704" t="s">
        <v>74</v>
      </c>
      <c r="AF704" t="s">
        <v>74</v>
      </c>
      <c r="AG704">
        <v>83</v>
      </c>
      <c r="AH704">
        <v>12</v>
      </c>
      <c r="AI704">
        <v>13</v>
      </c>
      <c r="AJ704">
        <v>0</v>
      </c>
      <c r="AK704">
        <v>6</v>
      </c>
      <c r="AL704" t="s">
        <v>159</v>
      </c>
      <c r="AM704" t="s">
        <v>160</v>
      </c>
      <c r="AN704" t="s">
        <v>161</v>
      </c>
      <c r="AO704" t="s">
        <v>3848</v>
      </c>
      <c r="AP704" t="s">
        <v>74</v>
      </c>
      <c r="AQ704" t="s">
        <v>74</v>
      </c>
      <c r="AR704" t="s">
        <v>3849</v>
      </c>
      <c r="AS704" t="s">
        <v>3850</v>
      </c>
      <c r="AT704" t="s">
        <v>8459</v>
      </c>
      <c r="AU704">
        <v>2000</v>
      </c>
      <c r="AV704">
        <v>23</v>
      </c>
      <c r="AW704">
        <v>9</v>
      </c>
      <c r="AX704" t="s">
        <v>74</v>
      </c>
      <c r="AY704" t="s">
        <v>74</v>
      </c>
      <c r="AZ704" t="s">
        <v>74</v>
      </c>
      <c r="BA704" t="s">
        <v>74</v>
      </c>
      <c r="BB704">
        <v>635</v>
      </c>
      <c r="BC704">
        <v>643</v>
      </c>
      <c r="BD704" t="s">
        <v>74</v>
      </c>
      <c r="BE704" t="s">
        <v>9414</v>
      </c>
      <c r="BF704" t="str">
        <f>HYPERLINK("http://dx.doi.org/10.1007/s003000000134","http://dx.doi.org/10.1007/s003000000134")</f>
        <v>http://dx.doi.org/10.1007/s003000000134</v>
      </c>
      <c r="BG704" t="s">
        <v>74</v>
      </c>
      <c r="BH704" t="s">
        <v>74</v>
      </c>
      <c r="BI704">
        <v>9</v>
      </c>
      <c r="BJ704" t="s">
        <v>3852</v>
      </c>
      <c r="BK704" t="s">
        <v>94</v>
      </c>
      <c r="BL704" t="s">
        <v>1103</v>
      </c>
      <c r="BM704" t="s">
        <v>9377</v>
      </c>
      <c r="BN704" t="s">
        <v>74</v>
      </c>
      <c r="BO704" t="s">
        <v>74</v>
      </c>
      <c r="BP704" t="s">
        <v>74</v>
      </c>
      <c r="BQ704" t="s">
        <v>74</v>
      </c>
      <c r="BR704" t="s">
        <v>97</v>
      </c>
      <c r="BS704" t="s">
        <v>9415</v>
      </c>
      <c r="BT704" t="str">
        <f>HYPERLINK("https%3A%2F%2Fwww.webofscience.com%2Fwos%2Fwoscc%2Ffull-record%2FWOS:000089208600006","View Full Record in Web of Science")</f>
        <v>View Full Record in Web of Science</v>
      </c>
    </row>
    <row r="705" spans="1:72" x14ac:dyDescent="0.15">
      <c r="A705" t="s">
        <v>72</v>
      </c>
      <c r="B705" t="s">
        <v>9416</v>
      </c>
      <c r="C705" t="s">
        <v>74</v>
      </c>
      <c r="D705" t="s">
        <v>74</v>
      </c>
      <c r="E705" t="s">
        <v>74</v>
      </c>
      <c r="F705" t="s">
        <v>9416</v>
      </c>
      <c r="G705" t="s">
        <v>74</v>
      </c>
      <c r="H705" t="s">
        <v>74</v>
      </c>
      <c r="I705" t="s">
        <v>9417</v>
      </c>
      <c r="J705" t="s">
        <v>3842</v>
      </c>
      <c r="K705" t="s">
        <v>74</v>
      </c>
      <c r="L705" t="s">
        <v>74</v>
      </c>
      <c r="M705" t="s">
        <v>77</v>
      </c>
      <c r="N705" t="s">
        <v>78</v>
      </c>
      <c r="O705" t="s">
        <v>74</v>
      </c>
      <c r="P705" t="s">
        <v>74</v>
      </c>
      <c r="Q705" t="s">
        <v>74</v>
      </c>
      <c r="R705" t="s">
        <v>74</v>
      </c>
      <c r="S705" t="s">
        <v>74</v>
      </c>
      <c r="T705" t="s">
        <v>74</v>
      </c>
      <c r="U705" t="s">
        <v>9418</v>
      </c>
      <c r="V705" t="s">
        <v>9419</v>
      </c>
      <c r="W705" t="s">
        <v>9420</v>
      </c>
      <c r="X705" t="s">
        <v>5271</v>
      </c>
      <c r="Y705" t="s">
        <v>9421</v>
      </c>
      <c r="Z705" t="s">
        <v>9422</v>
      </c>
      <c r="AA705" t="s">
        <v>9423</v>
      </c>
      <c r="AB705" t="s">
        <v>9424</v>
      </c>
      <c r="AC705" t="s">
        <v>74</v>
      </c>
      <c r="AD705" t="s">
        <v>74</v>
      </c>
      <c r="AE705" t="s">
        <v>74</v>
      </c>
      <c r="AF705" t="s">
        <v>74</v>
      </c>
      <c r="AG705">
        <v>23</v>
      </c>
      <c r="AH705">
        <v>21</v>
      </c>
      <c r="AI705">
        <v>22</v>
      </c>
      <c r="AJ705">
        <v>1</v>
      </c>
      <c r="AK705">
        <v>12</v>
      </c>
      <c r="AL705" t="s">
        <v>906</v>
      </c>
      <c r="AM705" t="s">
        <v>160</v>
      </c>
      <c r="AN705" t="s">
        <v>890</v>
      </c>
      <c r="AO705" t="s">
        <v>3848</v>
      </c>
      <c r="AP705" t="s">
        <v>74</v>
      </c>
      <c r="AQ705" t="s">
        <v>74</v>
      </c>
      <c r="AR705" t="s">
        <v>3849</v>
      </c>
      <c r="AS705" t="s">
        <v>3850</v>
      </c>
      <c r="AT705" t="s">
        <v>8459</v>
      </c>
      <c r="AU705">
        <v>2000</v>
      </c>
      <c r="AV705">
        <v>23</v>
      </c>
      <c r="AW705">
        <v>9</v>
      </c>
      <c r="AX705" t="s">
        <v>74</v>
      </c>
      <c r="AY705" t="s">
        <v>74</v>
      </c>
      <c r="AZ705" t="s">
        <v>74</v>
      </c>
      <c r="BA705" t="s">
        <v>74</v>
      </c>
      <c r="BB705">
        <v>644</v>
      </c>
      <c r="BC705">
        <v>650</v>
      </c>
      <c r="BD705" t="s">
        <v>74</v>
      </c>
      <c r="BE705" t="s">
        <v>9425</v>
      </c>
      <c r="BF705" t="str">
        <f>HYPERLINK("http://dx.doi.org/10.1007/s003000000137","http://dx.doi.org/10.1007/s003000000137")</f>
        <v>http://dx.doi.org/10.1007/s003000000137</v>
      </c>
      <c r="BG705" t="s">
        <v>74</v>
      </c>
      <c r="BH705" t="s">
        <v>74</v>
      </c>
      <c r="BI705">
        <v>7</v>
      </c>
      <c r="BJ705" t="s">
        <v>3852</v>
      </c>
      <c r="BK705" t="s">
        <v>94</v>
      </c>
      <c r="BL705" t="s">
        <v>1103</v>
      </c>
      <c r="BM705" t="s">
        <v>9377</v>
      </c>
      <c r="BN705" t="s">
        <v>74</v>
      </c>
      <c r="BO705" t="s">
        <v>74</v>
      </c>
      <c r="BP705" t="s">
        <v>74</v>
      </c>
      <c r="BQ705" t="s">
        <v>74</v>
      </c>
      <c r="BR705" t="s">
        <v>97</v>
      </c>
      <c r="BS705" t="s">
        <v>9426</v>
      </c>
      <c r="BT705" t="str">
        <f>HYPERLINK("https%3A%2F%2Fwww.webofscience.com%2Fwos%2Fwoscc%2Ffull-record%2FWOS:000089208600007","View Full Record in Web of Science")</f>
        <v>View Full Record in Web of Science</v>
      </c>
    </row>
    <row r="706" spans="1:72" x14ac:dyDescent="0.15">
      <c r="A706" t="s">
        <v>72</v>
      </c>
      <c r="B706" t="s">
        <v>9427</v>
      </c>
      <c r="C706" t="s">
        <v>74</v>
      </c>
      <c r="D706" t="s">
        <v>74</v>
      </c>
      <c r="E706" t="s">
        <v>74</v>
      </c>
      <c r="F706" t="s">
        <v>9427</v>
      </c>
      <c r="G706" t="s">
        <v>74</v>
      </c>
      <c r="H706" t="s">
        <v>74</v>
      </c>
      <c r="I706" t="s">
        <v>9428</v>
      </c>
      <c r="J706" t="s">
        <v>3842</v>
      </c>
      <c r="K706" t="s">
        <v>74</v>
      </c>
      <c r="L706" t="s">
        <v>74</v>
      </c>
      <c r="M706" t="s">
        <v>77</v>
      </c>
      <c r="N706" t="s">
        <v>78</v>
      </c>
      <c r="O706" t="s">
        <v>74</v>
      </c>
      <c r="P706" t="s">
        <v>74</v>
      </c>
      <c r="Q706" t="s">
        <v>74</v>
      </c>
      <c r="R706" t="s">
        <v>74</v>
      </c>
      <c r="S706" t="s">
        <v>74</v>
      </c>
      <c r="T706" t="s">
        <v>74</v>
      </c>
      <c r="U706" t="s">
        <v>9429</v>
      </c>
      <c r="V706" t="s">
        <v>9430</v>
      </c>
      <c r="W706" t="s">
        <v>9431</v>
      </c>
      <c r="X706" t="s">
        <v>9432</v>
      </c>
      <c r="Y706" t="s">
        <v>9433</v>
      </c>
      <c r="Z706" t="s">
        <v>74</v>
      </c>
      <c r="AA706" t="s">
        <v>74</v>
      </c>
      <c r="AB706" t="s">
        <v>9434</v>
      </c>
      <c r="AC706" t="s">
        <v>74</v>
      </c>
      <c r="AD706" t="s">
        <v>74</v>
      </c>
      <c r="AE706" t="s">
        <v>74</v>
      </c>
      <c r="AF706" t="s">
        <v>74</v>
      </c>
      <c r="AG706">
        <v>25</v>
      </c>
      <c r="AH706">
        <v>19</v>
      </c>
      <c r="AI706">
        <v>22</v>
      </c>
      <c r="AJ706">
        <v>0</v>
      </c>
      <c r="AK706">
        <v>8</v>
      </c>
      <c r="AL706" t="s">
        <v>159</v>
      </c>
      <c r="AM706" t="s">
        <v>160</v>
      </c>
      <c r="AN706" t="s">
        <v>161</v>
      </c>
      <c r="AO706" t="s">
        <v>3848</v>
      </c>
      <c r="AP706" t="s">
        <v>74</v>
      </c>
      <c r="AQ706" t="s">
        <v>74</v>
      </c>
      <c r="AR706" t="s">
        <v>3849</v>
      </c>
      <c r="AS706" t="s">
        <v>3850</v>
      </c>
      <c r="AT706" t="s">
        <v>8459</v>
      </c>
      <c r="AU706">
        <v>2000</v>
      </c>
      <c r="AV706">
        <v>23</v>
      </c>
      <c r="AW706">
        <v>9</v>
      </c>
      <c r="AX706" t="s">
        <v>74</v>
      </c>
      <c r="AY706" t="s">
        <v>74</v>
      </c>
      <c r="AZ706" t="s">
        <v>74</v>
      </c>
      <c r="BA706" t="s">
        <v>74</v>
      </c>
      <c r="BB706">
        <v>657</v>
      </c>
      <c r="BC706">
        <v>660</v>
      </c>
      <c r="BD706" t="s">
        <v>74</v>
      </c>
      <c r="BE706" t="s">
        <v>9435</v>
      </c>
      <c r="BF706" t="str">
        <f>HYPERLINK("http://dx.doi.org/10.1007/s003000000152","http://dx.doi.org/10.1007/s003000000152")</f>
        <v>http://dx.doi.org/10.1007/s003000000152</v>
      </c>
      <c r="BG706" t="s">
        <v>74</v>
      </c>
      <c r="BH706" t="s">
        <v>74</v>
      </c>
      <c r="BI706">
        <v>4</v>
      </c>
      <c r="BJ706" t="s">
        <v>3852</v>
      </c>
      <c r="BK706" t="s">
        <v>94</v>
      </c>
      <c r="BL706" t="s">
        <v>1103</v>
      </c>
      <c r="BM706" t="s">
        <v>9377</v>
      </c>
      <c r="BN706" t="s">
        <v>74</v>
      </c>
      <c r="BO706" t="s">
        <v>74</v>
      </c>
      <c r="BP706" t="s">
        <v>74</v>
      </c>
      <c r="BQ706" t="s">
        <v>74</v>
      </c>
      <c r="BR706" t="s">
        <v>97</v>
      </c>
      <c r="BS706" t="s">
        <v>9436</v>
      </c>
      <c r="BT706" t="str">
        <f>HYPERLINK("https%3A%2F%2Fwww.webofscience.com%2Fwos%2Fwoscc%2Ffull-record%2FWOS:000089208600009","View Full Record in Web of Science")</f>
        <v>View Full Record in Web of Science</v>
      </c>
    </row>
    <row r="707" spans="1:72" x14ac:dyDescent="0.15">
      <c r="A707" t="s">
        <v>72</v>
      </c>
      <c r="B707" t="s">
        <v>9437</v>
      </c>
      <c r="C707" t="s">
        <v>74</v>
      </c>
      <c r="D707" t="s">
        <v>74</v>
      </c>
      <c r="E707" t="s">
        <v>74</v>
      </c>
      <c r="F707" t="s">
        <v>9437</v>
      </c>
      <c r="G707" t="s">
        <v>74</v>
      </c>
      <c r="H707" t="s">
        <v>74</v>
      </c>
      <c r="I707" t="s">
        <v>9438</v>
      </c>
      <c r="J707" t="s">
        <v>9439</v>
      </c>
      <c r="K707" t="s">
        <v>74</v>
      </c>
      <c r="L707" t="s">
        <v>74</v>
      </c>
      <c r="M707" t="s">
        <v>77</v>
      </c>
      <c r="N707" t="s">
        <v>78</v>
      </c>
      <c r="O707" t="s">
        <v>74</v>
      </c>
      <c r="P707" t="s">
        <v>74</v>
      </c>
      <c r="Q707" t="s">
        <v>74</v>
      </c>
      <c r="R707" t="s">
        <v>74</v>
      </c>
      <c r="S707" t="s">
        <v>74</v>
      </c>
      <c r="T707" t="s">
        <v>9440</v>
      </c>
      <c r="U707" t="s">
        <v>9441</v>
      </c>
      <c r="V707" t="s">
        <v>9442</v>
      </c>
      <c r="W707" t="s">
        <v>9443</v>
      </c>
      <c r="X707" t="s">
        <v>9444</v>
      </c>
      <c r="Y707" t="s">
        <v>9445</v>
      </c>
      <c r="Z707" t="s">
        <v>74</v>
      </c>
      <c r="AA707" t="s">
        <v>9446</v>
      </c>
      <c r="AB707" t="s">
        <v>9447</v>
      </c>
      <c r="AC707" t="s">
        <v>74</v>
      </c>
      <c r="AD707" t="s">
        <v>74</v>
      </c>
      <c r="AE707" t="s">
        <v>74</v>
      </c>
      <c r="AF707" t="s">
        <v>74</v>
      </c>
      <c r="AG707">
        <v>64</v>
      </c>
      <c r="AH707">
        <v>18</v>
      </c>
      <c r="AI707">
        <v>19</v>
      </c>
      <c r="AJ707">
        <v>0</v>
      </c>
      <c r="AK707">
        <v>4</v>
      </c>
      <c r="AL707" t="s">
        <v>9448</v>
      </c>
      <c r="AM707" t="s">
        <v>9449</v>
      </c>
      <c r="AN707" t="s">
        <v>9450</v>
      </c>
      <c r="AO707" t="s">
        <v>9451</v>
      </c>
      <c r="AP707" t="s">
        <v>74</v>
      </c>
      <c r="AQ707" t="s">
        <v>74</v>
      </c>
      <c r="AR707" t="s">
        <v>9452</v>
      </c>
      <c r="AS707" t="s">
        <v>9453</v>
      </c>
      <c r="AT707" t="s">
        <v>8459</v>
      </c>
      <c r="AU707">
        <v>2000</v>
      </c>
      <c r="AV707">
        <v>157</v>
      </c>
      <c r="AW707">
        <v>9</v>
      </c>
      <c r="AX707" t="s">
        <v>74</v>
      </c>
      <c r="AY707" t="s">
        <v>74</v>
      </c>
      <c r="AZ707" t="s">
        <v>74</v>
      </c>
      <c r="BA707" t="s">
        <v>74</v>
      </c>
      <c r="BB707">
        <v>1337</v>
      </c>
      <c r="BC707">
        <v>1357</v>
      </c>
      <c r="BD707" t="s">
        <v>74</v>
      </c>
      <c r="BE707" t="s">
        <v>9454</v>
      </c>
      <c r="BF707" t="str">
        <f>HYPERLINK("http://dx.doi.org/10.1007/PL00001122","http://dx.doi.org/10.1007/PL00001122")</f>
        <v>http://dx.doi.org/10.1007/PL00001122</v>
      </c>
      <c r="BG707" t="s">
        <v>74</v>
      </c>
      <c r="BH707" t="s">
        <v>74</v>
      </c>
      <c r="BI707">
        <v>21</v>
      </c>
      <c r="BJ707" t="s">
        <v>953</v>
      </c>
      <c r="BK707" t="s">
        <v>94</v>
      </c>
      <c r="BL707" t="s">
        <v>953</v>
      </c>
      <c r="BM707" t="s">
        <v>9455</v>
      </c>
      <c r="BN707" t="s">
        <v>74</v>
      </c>
      <c r="BO707" t="s">
        <v>74</v>
      </c>
      <c r="BP707" t="s">
        <v>74</v>
      </c>
      <c r="BQ707" t="s">
        <v>74</v>
      </c>
      <c r="BR707" t="s">
        <v>97</v>
      </c>
      <c r="BS707" t="s">
        <v>9456</v>
      </c>
      <c r="BT707" t="str">
        <f>HYPERLINK("https%3A%2F%2Fwww.webofscience.com%2Fwos%2Fwoscc%2Ffull-record%2FWOS:000089697200002","View Full Record in Web of Science")</f>
        <v>View Full Record in Web of Science</v>
      </c>
    </row>
    <row r="708" spans="1:72" x14ac:dyDescent="0.15">
      <c r="A708" t="s">
        <v>72</v>
      </c>
      <c r="B708" t="s">
        <v>9457</v>
      </c>
      <c r="C708" t="s">
        <v>74</v>
      </c>
      <c r="D708" t="s">
        <v>74</v>
      </c>
      <c r="E708" t="s">
        <v>74</v>
      </c>
      <c r="F708" t="s">
        <v>9457</v>
      </c>
      <c r="G708" t="s">
        <v>74</v>
      </c>
      <c r="H708" t="s">
        <v>74</v>
      </c>
      <c r="I708" t="s">
        <v>9458</v>
      </c>
      <c r="J708" t="s">
        <v>4109</v>
      </c>
      <c r="K708" t="s">
        <v>74</v>
      </c>
      <c r="L708" t="s">
        <v>74</v>
      </c>
      <c r="M708" t="s">
        <v>77</v>
      </c>
      <c r="N708" t="s">
        <v>78</v>
      </c>
      <c r="O708" t="s">
        <v>74</v>
      </c>
      <c r="P708" t="s">
        <v>74</v>
      </c>
      <c r="Q708" t="s">
        <v>74</v>
      </c>
      <c r="R708" t="s">
        <v>74</v>
      </c>
      <c r="S708" t="s">
        <v>74</v>
      </c>
      <c r="T708" t="s">
        <v>9459</v>
      </c>
      <c r="U708" t="s">
        <v>9460</v>
      </c>
      <c r="V708" t="s">
        <v>9461</v>
      </c>
      <c r="W708" t="s">
        <v>9462</v>
      </c>
      <c r="X708" t="s">
        <v>1653</v>
      </c>
      <c r="Y708" t="s">
        <v>9463</v>
      </c>
      <c r="Z708" t="s">
        <v>9464</v>
      </c>
      <c r="AA708" t="s">
        <v>74</v>
      </c>
      <c r="AB708" t="s">
        <v>74</v>
      </c>
      <c r="AC708" t="s">
        <v>74</v>
      </c>
      <c r="AD708" t="s">
        <v>74</v>
      </c>
      <c r="AE708" t="s">
        <v>74</v>
      </c>
      <c r="AF708" t="s">
        <v>74</v>
      </c>
      <c r="AG708">
        <v>70</v>
      </c>
      <c r="AH708">
        <v>22</v>
      </c>
      <c r="AI708">
        <v>22</v>
      </c>
      <c r="AJ708">
        <v>0</v>
      </c>
      <c r="AK708">
        <v>3</v>
      </c>
      <c r="AL708" t="s">
        <v>108</v>
      </c>
      <c r="AM708" t="s">
        <v>160</v>
      </c>
      <c r="AN708" t="s">
        <v>965</v>
      </c>
      <c r="AO708" t="s">
        <v>4119</v>
      </c>
      <c r="AP708" t="s">
        <v>7192</v>
      </c>
      <c r="AQ708" t="s">
        <v>74</v>
      </c>
      <c r="AR708" t="s">
        <v>4120</v>
      </c>
      <c r="AS708" t="s">
        <v>4121</v>
      </c>
      <c r="AT708" t="s">
        <v>8459</v>
      </c>
      <c r="AU708">
        <v>2000</v>
      </c>
      <c r="AV708">
        <v>54</v>
      </c>
      <c r="AW708">
        <v>2</v>
      </c>
      <c r="AX708" t="s">
        <v>74</v>
      </c>
      <c r="AY708" t="s">
        <v>74</v>
      </c>
      <c r="AZ708" t="s">
        <v>74</v>
      </c>
      <c r="BA708" t="s">
        <v>74</v>
      </c>
      <c r="BB708">
        <v>246</v>
      </c>
      <c r="BC708">
        <v>252</v>
      </c>
      <c r="BD708" t="s">
        <v>74</v>
      </c>
      <c r="BE708" t="s">
        <v>9465</v>
      </c>
      <c r="BF708" t="str">
        <f>HYPERLINK("http://dx.doi.org/10.1006/qres.2000.2155","http://dx.doi.org/10.1006/qres.2000.2155")</f>
        <v>http://dx.doi.org/10.1006/qres.2000.2155</v>
      </c>
      <c r="BG708" t="s">
        <v>74</v>
      </c>
      <c r="BH708" t="s">
        <v>74</v>
      </c>
      <c r="BI708">
        <v>7</v>
      </c>
      <c r="BJ708" t="s">
        <v>1214</v>
      </c>
      <c r="BK708" t="s">
        <v>94</v>
      </c>
      <c r="BL708" t="s">
        <v>1215</v>
      </c>
      <c r="BM708" t="s">
        <v>9466</v>
      </c>
      <c r="BN708" t="s">
        <v>74</v>
      </c>
      <c r="BO708" t="s">
        <v>74</v>
      </c>
      <c r="BP708" t="s">
        <v>74</v>
      </c>
      <c r="BQ708" t="s">
        <v>74</v>
      </c>
      <c r="BR708" t="s">
        <v>97</v>
      </c>
      <c r="BS708" t="s">
        <v>9467</v>
      </c>
      <c r="BT708" t="str">
        <f>HYPERLINK("https%3A%2F%2Fwww.webofscience.com%2Fwos%2Fwoscc%2Ffull-record%2FWOS:000089583900010","View Full Record in Web of Science")</f>
        <v>View Full Record in Web of Science</v>
      </c>
    </row>
    <row r="709" spans="1:72" x14ac:dyDescent="0.15">
      <c r="A709" t="s">
        <v>72</v>
      </c>
      <c r="B709" t="s">
        <v>9468</v>
      </c>
      <c r="C709" t="s">
        <v>74</v>
      </c>
      <c r="D709" t="s">
        <v>74</v>
      </c>
      <c r="E709" t="s">
        <v>74</v>
      </c>
      <c r="F709" t="s">
        <v>9468</v>
      </c>
      <c r="G709" t="s">
        <v>74</v>
      </c>
      <c r="H709" t="s">
        <v>74</v>
      </c>
      <c r="I709" t="s">
        <v>9469</v>
      </c>
      <c r="J709" t="s">
        <v>4187</v>
      </c>
      <c r="K709" t="s">
        <v>74</v>
      </c>
      <c r="L709" t="s">
        <v>74</v>
      </c>
      <c r="M709" t="s">
        <v>77</v>
      </c>
      <c r="N709" t="s">
        <v>78</v>
      </c>
      <c r="O709" t="s">
        <v>74</v>
      </c>
      <c r="P709" t="s">
        <v>74</v>
      </c>
      <c r="Q709" t="s">
        <v>74</v>
      </c>
      <c r="R709" t="s">
        <v>74</v>
      </c>
      <c r="S709" t="s">
        <v>74</v>
      </c>
      <c r="T709" t="s">
        <v>74</v>
      </c>
      <c r="U709" t="s">
        <v>9470</v>
      </c>
      <c r="V709" t="s">
        <v>9471</v>
      </c>
      <c r="W709" t="s">
        <v>9472</v>
      </c>
      <c r="X709" t="s">
        <v>9473</v>
      </c>
      <c r="Y709" t="s">
        <v>9474</v>
      </c>
      <c r="Z709" t="s">
        <v>74</v>
      </c>
      <c r="AA709" t="s">
        <v>74</v>
      </c>
      <c r="AB709" t="s">
        <v>74</v>
      </c>
      <c r="AC709" t="s">
        <v>74</v>
      </c>
      <c r="AD709" t="s">
        <v>74</v>
      </c>
      <c r="AE709" t="s">
        <v>74</v>
      </c>
      <c r="AF709" t="s">
        <v>74</v>
      </c>
      <c r="AG709">
        <v>18</v>
      </c>
      <c r="AH709">
        <v>9</v>
      </c>
      <c r="AI709">
        <v>9</v>
      </c>
      <c r="AJ709">
        <v>0</v>
      </c>
      <c r="AK709">
        <v>0</v>
      </c>
      <c r="AL709" t="s">
        <v>1059</v>
      </c>
      <c r="AM709" t="s">
        <v>1060</v>
      </c>
      <c r="AN709" t="s">
        <v>1061</v>
      </c>
      <c r="AO709" t="s">
        <v>4195</v>
      </c>
      <c r="AP709" t="s">
        <v>74</v>
      </c>
      <c r="AQ709" t="s">
        <v>74</v>
      </c>
      <c r="AR709" t="s">
        <v>4196</v>
      </c>
      <c r="AS709" t="s">
        <v>4197</v>
      </c>
      <c r="AT709" t="s">
        <v>8718</v>
      </c>
      <c r="AU709">
        <v>2000</v>
      </c>
      <c r="AV709">
        <v>35</v>
      </c>
      <c r="AW709">
        <v>5</v>
      </c>
      <c r="AX709" t="s">
        <v>74</v>
      </c>
      <c r="AY709" t="s">
        <v>74</v>
      </c>
      <c r="AZ709" t="s">
        <v>74</v>
      </c>
      <c r="BA709" t="s">
        <v>74</v>
      </c>
      <c r="BB709">
        <v>1143</v>
      </c>
      <c r="BC709">
        <v>1153</v>
      </c>
      <c r="BD709" t="s">
        <v>74</v>
      </c>
      <c r="BE709" t="s">
        <v>9475</v>
      </c>
      <c r="BF709" t="str">
        <f>HYPERLINK("http://dx.doi.org/10.1029/2000RS002314","http://dx.doi.org/10.1029/2000RS002314")</f>
        <v>http://dx.doi.org/10.1029/2000RS002314</v>
      </c>
      <c r="BG709" t="s">
        <v>74</v>
      </c>
      <c r="BH709" t="s">
        <v>74</v>
      </c>
      <c r="BI709">
        <v>11</v>
      </c>
      <c r="BJ709" t="s">
        <v>4199</v>
      </c>
      <c r="BK709" t="s">
        <v>94</v>
      </c>
      <c r="BL709" t="s">
        <v>4199</v>
      </c>
      <c r="BM709" t="s">
        <v>9476</v>
      </c>
      <c r="BN709" t="s">
        <v>74</v>
      </c>
      <c r="BO709" t="s">
        <v>6776</v>
      </c>
      <c r="BP709" t="s">
        <v>74</v>
      </c>
      <c r="BQ709" t="s">
        <v>74</v>
      </c>
      <c r="BR709" t="s">
        <v>97</v>
      </c>
      <c r="BS709" t="s">
        <v>9477</v>
      </c>
      <c r="BT709" t="str">
        <f>HYPERLINK("https%3A%2F%2Fwww.webofscience.com%2Fwos%2Fwoscc%2Ffull-record%2FWOS:000089606900008","View Full Record in Web of Science")</f>
        <v>View Full Record in Web of Science</v>
      </c>
    </row>
    <row r="710" spans="1:72" x14ac:dyDescent="0.15">
      <c r="A710" t="s">
        <v>72</v>
      </c>
      <c r="B710" t="s">
        <v>9478</v>
      </c>
      <c r="C710" t="s">
        <v>74</v>
      </c>
      <c r="D710" t="s">
        <v>74</v>
      </c>
      <c r="E710" t="s">
        <v>74</v>
      </c>
      <c r="F710" t="s">
        <v>9478</v>
      </c>
      <c r="G710" t="s">
        <v>74</v>
      </c>
      <c r="H710" t="s">
        <v>74</v>
      </c>
      <c r="I710" t="s">
        <v>9479</v>
      </c>
      <c r="J710" t="s">
        <v>4187</v>
      </c>
      <c r="K710" t="s">
        <v>74</v>
      </c>
      <c r="L710" t="s">
        <v>74</v>
      </c>
      <c r="M710" t="s">
        <v>77</v>
      </c>
      <c r="N710" t="s">
        <v>78</v>
      </c>
      <c r="O710" t="s">
        <v>74</v>
      </c>
      <c r="P710" t="s">
        <v>74</v>
      </c>
      <c r="Q710" t="s">
        <v>74</v>
      </c>
      <c r="R710" t="s">
        <v>74</v>
      </c>
      <c r="S710" t="s">
        <v>74</v>
      </c>
      <c r="T710" t="s">
        <v>74</v>
      </c>
      <c r="U710" t="s">
        <v>9480</v>
      </c>
      <c r="V710" t="s">
        <v>9481</v>
      </c>
      <c r="W710" t="s">
        <v>9482</v>
      </c>
      <c r="X710" t="s">
        <v>9483</v>
      </c>
      <c r="Y710" t="s">
        <v>9484</v>
      </c>
      <c r="Z710" t="s">
        <v>74</v>
      </c>
      <c r="AA710" t="s">
        <v>9485</v>
      </c>
      <c r="AB710" t="s">
        <v>9486</v>
      </c>
      <c r="AC710" t="s">
        <v>74</v>
      </c>
      <c r="AD710" t="s">
        <v>74</v>
      </c>
      <c r="AE710" t="s">
        <v>74</v>
      </c>
      <c r="AF710" t="s">
        <v>74</v>
      </c>
      <c r="AG710">
        <v>22</v>
      </c>
      <c r="AH710">
        <v>21</v>
      </c>
      <c r="AI710">
        <v>22</v>
      </c>
      <c r="AJ710">
        <v>0</v>
      </c>
      <c r="AK710">
        <v>3</v>
      </c>
      <c r="AL710" t="s">
        <v>1059</v>
      </c>
      <c r="AM710" t="s">
        <v>1060</v>
      </c>
      <c r="AN710" t="s">
        <v>1061</v>
      </c>
      <c r="AO710" t="s">
        <v>4195</v>
      </c>
      <c r="AP710" t="s">
        <v>74</v>
      </c>
      <c r="AQ710" t="s">
        <v>74</v>
      </c>
      <c r="AR710" t="s">
        <v>4196</v>
      </c>
      <c r="AS710" t="s">
        <v>4197</v>
      </c>
      <c r="AT710" t="s">
        <v>8718</v>
      </c>
      <c r="AU710">
        <v>2000</v>
      </c>
      <c r="AV710">
        <v>35</v>
      </c>
      <c r="AW710">
        <v>5</v>
      </c>
      <c r="AX710" t="s">
        <v>74</v>
      </c>
      <c r="AY710" t="s">
        <v>74</v>
      </c>
      <c r="AZ710" t="s">
        <v>74</v>
      </c>
      <c r="BA710" t="s">
        <v>74</v>
      </c>
      <c r="BB710">
        <v>1165</v>
      </c>
      <c r="BC710">
        <v>1171</v>
      </c>
      <c r="BD710" t="s">
        <v>74</v>
      </c>
      <c r="BE710" t="s">
        <v>9487</v>
      </c>
      <c r="BF710" t="str">
        <f>HYPERLINK("http://dx.doi.org/10.1029/1998RS001776","http://dx.doi.org/10.1029/1998RS001776")</f>
        <v>http://dx.doi.org/10.1029/1998RS001776</v>
      </c>
      <c r="BG710" t="s">
        <v>74</v>
      </c>
      <c r="BH710" t="s">
        <v>74</v>
      </c>
      <c r="BI710">
        <v>7</v>
      </c>
      <c r="BJ710" t="s">
        <v>4199</v>
      </c>
      <c r="BK710" t="s">
        <v>94</v>
      </c>
      <c r="BL710" t="s">
        <v>4199</v>
      </c>
      <c r="BM710" t="s">
        <v>9476</v>
      </c>
      <c r="BN710" t="s">
        <v>74</v>
      </c>
      <c r="BO710" t="s">
        <v>74</v>
      </c>
      <c r="BP710" t="s">
        <v>74</v>
      </c>
      <c r="BQ710" t="s">
        <v>74</v>
      </c>
      <c r="BR710" t="s">
        <v>97</v>
      </c>
      <c r="BS710" t="s">
        <v>9488</v>
      </c>
      <c r="BT710" t="str">
        <f>HYPERLINK("https%3A%2F%2Fwww.webofscience.com%2Fwos%2Fwoscc%2Ffull-record%2FWOS:000089606900010","View Full Record in Web of Science")</f>
        <v>View Full Record in Web of Science</v>
      </c>
    </row>
    <row r="711" spans="1:72" x14ac:dyDescent="0.15">
      <c r="A711" t="s">
        <v>72</v>
      </c>
      <c r="B711" t="s">
        <v>9489</v>
      </c>
      <c r="C711" t="s">
        <v>74</v>
      </c>
      <c r="D711" t="s">
        <v>74</v>
      </c>
      <c r="E711" t="s">
        <v>74</v>
      </c>
      <c r="F711" t="s">
        <v>9489</v>
      </c>
      <c r="G711" t="s">
        <v>74</v>
      </c>
      <c r="H711" t="s">
        <v>74</v>
      </c>
      <c r="I711" t="s">
        <v>9490</v>
      </c>
      <c r="J711" t="s">
        <v>6055</v>
      </c>
      <c r="K711" t="s">
        <v>74</v>
      </c>
      <c r="L711" t="s">
        <v>74</v>
      </c>
      <c r="M711" t="s">
        <v>77</v>
      </c>
      <c r="N711" t="s">
        <v>78</v>
      </c>
      <c r="O711" t="s">
        <v>74</v>
      </c>
      <c r="P711" t="s">
        <v>74</v>
      </c>
      <c r="Q711" t="s">
        <v>74</v>
      </c>
      <c r="R711" t="s">
        <v>74</v>
      </c>
      <c r="S711" t="s">
        <v>74</v>
      </c>
      <c r="T711" t="s">
        <v>9491</v>
      </c>
      <c r="U711" t="s">
        <v>9492</v>
      </c>
      <c r="V711" t="s">
        <v>9493</v>
      </c>
      <c r="W711" t="s">
        <v>9494</v>
      </c>
      <c r="X711" t="s">
        <v>9495</v>
      </c>
      <c r="Y711" t="s">
        <v>9496</v>
      </c>
      <c r="Z711" t="s">
        <v>74</v>
      </c>
      <c r="AA711" t="s">
        <v>74</v>
      </c>
      <c r="AB711" t="s">
        <v>74</v>
      </c>
      <c r="AC711" t="s">
        <v>74</v>
      </c>
      <c r="AD711" t="s">
        <v>74</v>
      </c>
      <c r="AE711" t="s">
        <v>74</v>
      </c>
      <c r="AF711" t="s">
        <v>74</v>
      </c>
      <c r="AG711">
        <v>64</v>
      </c>
      <c r="AH711">
        <v>20</v>
      </c>
      <c r="AI711">
        <v>22</v>
      </c>
      <c r="AJ711">
        <v>1</v>
      </c>
      <c r="AK711">
        <v>8</v>
      </c>
      <c r="AL711" t="s">
        <v>1120</v>
      </c>
      <c r="AM711" t="s">
        <v>1121</v>
      </c>
      <c r="AN711" t="s">
        <v>2394</v>
      </c>
      <c r="AO711" t="s">
        <v>6064</v>
      </c>
      <c r="AP711" t="s">
        <v>74</v>
      </c>
      <c r="AQ711" t="s">
        <v>74</v>
      </c>
      <c r="AR711" t="s">
        <v>6066</v>
      </c>
      <c r="AS711" t="s">
        <v>6067</v>
      </c>
      <c r="AT711" t="s">
        <v>8459</v>
      </c>
      <c r="AU711">
        <v>2000</v>
      </c>
      <c r="AV711">
        <v>111</v>
      </c>
      <c r="AW711" t="s">
        <v>1046</v>
      </c>
      <c r="AX711" t="s">
        <v>74</v>
      </c>
      <c r="AY711" t="s">
        <v>74</v>
      </c>
      <c r="AZ711" t="s">
        <v>74</v>
      </c>
      <c r="BA711" t="s">
        <v>74</v>
      </c>
      <c r="BB711">
        <v>225</v>
      </c>
      <c r="BC711">
        <v>235</v>
      </c>
      <c r="BD711" t="s">
        <v>74</v>
      </c>
      <c r="BE711" t="s">
        <v>9497</v>
      </c>
      <c r="BF711" t="str">
        <f>HYPERLINK("http://dx.doi.org/10.1016/S0034-6667(00)00026-9","http://dx.doi.org/10.1016/S0034-6667(00)00026-9")</f>
        <v>http://dx.doi.org/10.1016/S0034-6667(00)00026-9</v>
      </c>
      <c r="BG711" t="s">
        <v>74</v>
      </c>
      <c r="BH711" t="s">
        <v>74</v>
      </c>
      <c r="BI711">
        <v>11</v>
      </c>
      <c r="BJ711" t="s">
        <v>6069</v>
      </c>
      <c r="BK711" t="s">
        <v>94</v>
      </c>
      <c r="BL711" t="s">
        <v>6069</v>
      </c>
      <c r="BM711" t="s">
        <v>9498</v>
      </c>
      <c r="BN711">
        <v>11035167</v>
      </c>
      <c r="BO711" t="s">
        <v>74</v>
      </c>
      <c r="BP711" t="s">
        <v>74</v>
      </c>
      <c r="BQ711" t="s">
        <v>74</v>
      </c>
      <c r="BR711" t="s">
        <v>97</v>
      </c>
      <c r="BS711" t="s">
        <v>9499</v>
      </c>
      <c r="BT711" t="str">
        <f>HYPERLINK("https%3A%2F%2Fwww.webofscience.com%2Fwos%2Fwoscc%2Ffull-record%2FWOS:000089808000003","View Full Record in Web of Science")</f>
        <v>View Full Record in Web of Science</v>
      </c>
    </row>
    <row r="712" spans="1:72" x14ac:dyDescent="0.15">
      <c r="A712" t="s">
        <v>72</v>
      </c>
      <c r="B712" t="s">
        <v>9500</v>
      </c>
      <c r="C712" t="s">
        <v>74</v>
      </c>
      <c r="D712" t="s">
        <v>74</v>
      </c>
      <c r="E712" t="s">
        <v>74</v>
      </c>
      <c r="F712" t="s">
        <v>9500</v>
      </c>
      <c r="G712" t="s">
        <v>74</v>
      </c>
      <c r="H712" t="s">
        <v>74</v>
      </c>
      <c r="I712" t="s">
        <v>9501</v>
      </c>
      <c r="J712" t="s">
        <v>9502</v>
      </c>
      <c r="K712" t="s">
        <v>74</v>
      </c>
      <c r="L712" t="s">
        <v>74</v>
      </c>
      <c r="M712" t="s">
        <v>77</v>
      </c>
      <c r="N712" t="s">
        <v>78</v>
      </c>
      <c r="O712" t="s">
        <v>74</v>
      </c>
      <c r="P712" t="s">
        <v>74</v>
      </c>
      <c r="Q712" t="s">
        <v>74</v>
      </c>
      <c r="R712" t="s">
        <v>74</v>
      </c>
      <c r="S712" t="s">
        <v>74</v>
      </c>
      <c r="T712" t="s">
        <v>9503</v>
      </c>
      <c r="U712" t="s">
        <v>74</v>
      </c>
      <c r="V712" t="s">
        <v>9504</v>
      </c>
      <c r="W712" t="s">
        <v>9505</v>
      </c>
      <c r="X712" t="s">
        <v>9506</v>
      </c>
      <c r="Y712" t="s">
        <v>9507</v>
      </c>
      <c r="Z712" t="s">
        <v>74</v>
      </c>
      <c r="AA712" t="s">
        <v>74</v>
      </c>
      <c r="AB712" t="s">
        <v>74</v>
      </c>
      <c r="AC712" t="s">
        <v>74</v>
      </c>
      <c r="AD712" t="s">
        <v>74</v>
      </c>
      <c r="AE712" t="s">
        <v>74</v>
      </c>
      <c r="AF712" t="s">
        <v>74</v>
      </c>
      <c r="AG712">
        <v>43</v>
      </c>
      <c r="AH712">
        <v>0</v>
      </c>
      <c r="AI712">
        <v>0</v>
      </c>
      <c r="AJ712">
        <v>0</v>
      </c>
      <c r="AK712">
        <v>0</v>
      </c>
      <c r="AL712" t="s">
        <v>9508</v>
      </c>
      <c r="AM712" t="s">
        <v>4545</v>
      </c>
      <c r="AN712" t="s">
        <v>9509</v>
      </c>
      <c r="AO712" t="s">
        <v>9510</v>
      </c>
      <c r="AP712" t="s">
        <v>9511</v>
      </c>
      <c r="AQ712" t="s">
        <v>74</v>
      </c>
      <c r="AR712" t="s">
        <v>9512</v>
      </c>
      <c r="AS712" t="s">
        <v>9513</v>
      </c>
      <c r="AT712" t="s">
        <v>8718</v>
      </c>
      <c r="AU712">
        <v>2000</v>
      </c>
      <c r="AV712">
        <v>8</v>
      </c>
      <c r="AW712">
        <v>5</v>
      </c>
      <c r="AX712" t="s">
        <v>74</v>
      </c>
      <c r="AY712" t="s">
        <v>74</v>
      </c>
      <c r="AZ712" t="s">
        <v>74</v>
      </c>
      <c r="BA712" t="s">
        <v>74</v>
      </c>
      <c r="BB712">
        <v>461</v>
      </c>
      <c r="BC712">
        <v>469</v>
      </c>
      <c r="BD712" t="s">
        <v>74</v>
      </c>
      <c r="BE712" t="s">
        <v>74</v>
      </c>
      <c r="BF712" t="s">
        <v>74</v>
      </c>
      <c r="BG712" t="s">
        <v>74</v>
      </c>
      <c r="BH712" t="s">
        <v>74</v>
      </c>
      <c r="BI712">
        <v>9</v>
      </c>
      <c r="BJ712" t="s">
        <v>4530</v>
      </c>
      <c r="BK712" t="s">
        <v>94</v>
      </c>
      <c r="BL712" t="s">
        <v>4530</v>
      </c>
      <c r="BM712" t="s">
        <v>9514</v>
      </c>
      <c r="BN712" t="s">
        <v>74</v>
      </c>
      <c r="BO712" t="s">
        <v>74</v>
      </c>
      <c r="BP712" t="s">
        <v>74</v>
      </c>
      <c r="BQ712" t="s">
        <v>74</v>
      </c>
      <c r="BR712" t="s">
        <v>97</v>
      </c>
      <c r="BS712" t="s">
        <v>9515</v>
      </c>
      <c r="BT712" t="str">
        <f>HYPERLINK("https%3A%2F%2Fwww.webofscience.com%2Fwos%2Fwoscc%2Ffull-record%2FWOS:000089781700003","View Full Record in Web of Science")</f>
        <v>View Full Record in Web of Science</v>
      </c>
    </row>
    <row r="713" spans="1:72" x14ac:dyDescent="0.15">
      <c r="A713" t="s">
        <v>72</v>
      </c>
      <c r="B713" t="s">
        <v>9516</v>
      </c>
      <c r="C713" t="s">
        <v>74</v>
      </c>
      <c r="D713" t="s">
        <v>74</v>
      </c>
      <c r="E713" t="s">
        <v>74</v>
      </c>
      <c r="F713" t="s">
        <v>9516</v>
      </c>
      <c r="G713" t="s">
        <v>74</v>
      </c>
      <c r="H713" t="s">
        <v>74</v>
      </c>
      <c r="I713" t="s">
        <v>9517</v>
      </c>
      <c r="J713" t="s">
        <v>4772</v>
      </c>
      <c r="K713" t="s">
        <v>74</v>
      </c>
      <c r="L713" t="s">
        <v>74</v>
      </c>
      <c r="M713" t="s">
        <v>77</v>
      </c>
      <c r="N713" t="s">
        <v>78</v>
      </c>
      <c r="O713" t="s">
        <v>74</v>
      </c>
      <c r="P713" t="s">
        <v>74</v>
      </c>
      <c r="Q713" t="s">
        <v>74</v>
      </c>
      <c r="R713" t="s">
        <v>74</v>
      </c>
      <c r="S713" t="s">
        <v>74</v>
      </c>
      <c r="T713" t="s">
        <v>74</v>
      </c>
      <c r="U713" t="s">
        <v>9518</v>
      </c>
      <c r="V713" t="s">
        <v>9519</v>
      </c>
      <c r="W713" t="s">
        <v>9520</v>
      </c>
      <c r="X713" t="s">
        <v>9521</v>
      </c>
      <c r="Y713" t="s">
        <v>9522</v>
      </c>
      <c r="Z713" t="s">
        <v>9523</v>
      </c>
      <c r="AA713" t="s">
        <v>74</v>
      </c>
      <c r="AB713" t="s">
        <v>9524</v>
      </c>
      <c r="AC713" t="s">
        <v>74</v>
      </c>
      <c r="AD713" t="s">
        <v>74</v>
      </c>
      <c r="AE713" t="s">
        <v>74</v>
      </c>
      <c r="AF713" t="s">
        <v>74</v>
      </c>
      <c r="AG713">
        <v>39</v>
      </c>
      <c r="AH713">
        <v>94</v>
      </c>
      <c r="AI713">
        <v>104</v>
      </c>
      <c r="AJ713">
        <v>1</v>
      </c>
      <c r="AK713">
        <v>16</v>
      </c>
      <c r="AL713" t="s">
        <v>1059</v>
      </c>
      <c r="AM713" t="s">
        <v>1060</v>
      </c>
      <c r="AN713" t="s">
        <v>1061</v>
      </c>
      <c r="AO713" t="s">
        <v>4798</v>
      </c>
      <c r="AP713" t="s">
        <v>74</v>
      </c>
      <c r="AQ713" t="s">
        <v>74</v>
      </c>
      <c r="AR713" t="s">
        <v>4781</v>
      </c>
      <c r="AS713" t="s">
        <v>4782</v>
      </c>
      <c r="AT713" t="s">
        <v>9525</v>
      </c>
      <c r="AU713">
        <v>2000</v>
      </c>
      <c r="AV713">
        <v>105</v>
      </c>
      <c r="AW713" t="s">
        <v>9526</v>
      </c>
      <c r="AX713" t="s">
        <v>74</v>
      </c>
      <c r="AY713" t="s">
        <v>74</v>
      </c>
      <c r="AZ713" t="s">
        <v>74</v>
      </c>
      <c r="BA713" t="s">
        <v>74</v>
      </c>
      <c r="BB713">
        <v>20451</v>
      </c>
      <c r="BC713">
        <v>20459</v>
      </c>
      <c r="BD713" t="s">
        <v>74</v>
      </c>
      <c r="BE713" t="s">
        <v>9527</v>
      </c>
      <c r="BF713" t="str">
        <f>HYPERLINK("http://dx.doi.org/10.1029/2000JD900176","http://dx.doi.org/10.1029/2000JD900176")</f>
        <v>http://dx.doi.org/10.1029/2000JD900176</v>
      </c>
      <c r="BG713" t="s">
        <v>74</v>
      </c>
      <c r="BH713" t="s">
        <v>74</v>
      </c>
      <c r="BI713">
        <v>9</v>
      </c>
      <c r="BJ713" t="s">
        <v>167</v>
      </c>
      <c r="BK713" t="s">
        <v>94</v>
      </c>
      <c r="BL713" t="s">
        <v>167</v>
      </c>
      <c r="BM713" t="s">
        <v>9528</v>
      </c>
      <c r="BN713" t="s">
        <v>74</v>
      </c>
      <c r="BO713" t="s">
        <v>74</v>
      </c>
      <c r="BP713" t="s">
        <v>74</v>
      </c>
      <c r="BQ713" t="s">
        <v>74</v>
      </c>
      <c r="BR713" t="s">
        <v>97</v>
      </c>
      <c r="BS713" t="s">
        <v>9529</v>
      </c>
      <c r="BT713" t="str">
        <f>HYPERLINK("https%3A%2F%2Fwww.webofscience.com%2Fwos%2Fwoscc%2Ffull-record%2FWOS:000089107600001","View Full Record in Web of Science")</f>
        <v>View Full Record in Web of Science</v>
      </c>
    </row>
    <row r="714" spans="1:72" x14ac:dyDescent="0.15">
      <c r="A714" t="s">
        <v>72</v>
      </c>
      <c r="B714" t="s">
        <v>9530</v>
      </c>
      <c r="C714" t="s">
        <v>74</v>
      </c>
      <c r="D714" t="s">
        <v>74</v>
      </c>
      <c r="E714" t="s">
        <v>74</v>
      </c>
      <c r="F714" t="s">
        <v>9530</v>
      </c>
      <c r="G714" t="s">
        <v>74</v>
      </c>
      <c r="H714" t="s">
        <v>74</v>
      </c>
      <c r="I714" t="s">
        <v>9531</v>
      </c>
      <c r="J714" t="s">
        <v>4772</v>
      </c>
      <c r="K714" t="s">
        <v>74</v>
      </c>
      <c r="L714" t="s">
        <v>74</v>
      </c>
      <c r="M714" t="s">
        <v>77</v>
      </c>
      <c r="N714" t="s">
        <v>78</v>
      </c>
      <c r="O714" t="s">
        <v>74</v>
      </c>
      <c r="P714" t="s">
        <v>74</v>
      </c>
      <c r="Q714" t="s">
        <v>74</v>
      </c>
      <c r="R714" t="s">
        <v>74</v>
      </c>
      <c r="S714" t="s">
        <v>74</v>
      </c>
      <c r="T714" t="s">
        <v>74</v>
      </c>
      <c r="U714" t="s">
        <v>9532</v>
      </c>
      <c r="V714" t="s">
        <v>9533</v>
      </c>
      <c r="W714" t="s">
        <v>9534</v>
      </c>
      <c r="X714" t="s">
        <v>9535</v>
      </c>
      <c r="Y714" t="s">
        <v>4794</v>
      </c>
      <c r="Z714" t="s">
        <v>9536</v>
      </c>
      <c r="AA714" t="s">
        <v>8837</v>
      </c>
      <c r="AB714" t="s">
        <v>8838</v>
      </c>
      <c r="AC714" t="s">
        <v>74</v>
      </c>
      <c r="AD714" t="s">
        <v>74</v>
      </c>
      <c r="AE714" t="s">
        <v>74</v>
      </c>
      <c r="AF714" t="s">
        <v>74</v>
      </c>
      <c r="AG714">
        <v>40</v>
      </c>
      <c r="AH714">
        <v>121</v>
      </c>
      <c r="AI714">
        <v>135</v>
      </c>
      <c r="AJ714">
        <v>0</v>
      </c>
      <c r="AK714">
        <v>28</v>
      </c>
      <c r="AL714" t="s">
        <v>1059</v>
      </c>
      <c r="AM714" t="s">
        <v>1060</v>
      </c>
      <c r="AN714" t="s">
        <v>1061</v>
      </c>
      <c r="AO714" t="s">
        <v>4798</v>
      </c>
      <c r="AP714" t="s">
        <v>4799</v>
      </c>
      <c r="AQ714" t="s">
        <v>74</v>
      </c>
      <c r="AR714" t="s">
        <v>4781</v>
      </c>
      <c r="AS714" t="s">
        <v>4782</v>
      </c>
      <c r="AT714" t="s">
        <v>9525</v>
      </c>
      <c r="AU714">
        <v>2000</v>
      </c>
      <c r="AV714">
        <v>105</v>
      </c>
      <c r="AW714" t="s">
        <v>9526</v>
      </c>
      <c r="AX714" t="s">
        <v>74</v>
      </c>
      <c r="AY714" t="s">
        <v>74</v>
      </c>
      <c r="AZ714" t="s">
        <v>74</v>
      </c>
      <c r="BA714" t="s">
        <v>74</v>
      </c>
      <c r="BB714">
        <v>20565</v>
      </c>
      <c r="BC714">
        <v>20572</v>
      </c>
      <c r="BD714" t="s">
        <v>74</v>
      </c>
      <c r="BE714" t="s">
        <v>9537</v>
      </c>
      <c r="BF714" t="str">
        <f>HYPERLINK("http://dx.doi.org/10.1029/2000JD900264","http://dx.doi.org/10.1029/2000JD900264")</f>
        <v>http://dx.doi.org/10.1029/2000JD900264</v>
      </c>
      <c r="BG714" t="s">
        <v>74</v>
      </c>
      <c r="BH714" t="s">
        <v>74</v>
      </c>
      <c r="BI714">
        <v>8</v>
      </c>
      <c r="BJ714" t="s">
        <v>167</v>
      </c>
      <c r="BK714" t="s">
        <v>94</v>
      </c>
      <c r="BL714" t="s">
        <v>167</v>
      </c>
      <c r="BM714" t="s">
        <v>9528</v>
      </c>
      <c r="BN714" t="s">
        <v>74</v>
      </c>
      <c r="BO714" t="s">
        <v>2959</v>
      </c>
      <c r="BP714" t="s">
        <v>74</v>
      </c>
      <c r="BQ714" t="s">
        <v>74</v>
      </c>
      <c r="BR714" t="s">
        <v>97</v>
      </c>
      <c r="BS714" t="s">
        <v>9538</v>
      </c>
      <c r="BT714" t="str">
        <f>HYPERLINK("https%3A%2F%2Fwww.webofscience.com%2Fwos%2Fwoscc%2Ffull-record%2FWOS:000089107600009","View Full Record in Web of Science")</f>
        <v>View Full Record in Web of Science</v>
      </c>
    </row>
    <row r="715" spans="1:72" x14ac:dyDescent="0.15">
      <c r="A715" t="s">
        <v>72</v>
      </c>
      <c r="B715" t="s">
        <v>9539</v>
      </c>
      <c r="C715" t="s">
        <v>74</v>
      </c>
      <c r="D715" t="s">
        <v>74</v>
      </c>
      <c r="E715" t="s">
        <v>74</v>
      </c>
      <c r="F715" t="s">
        <v>9539</v>
      </c>
      <c r="G715" t="s">
        <v>74</v>
      </c>
      <c r="H715" t="s">
        <v>74</v>
      </c>
      <c r="I715" t="s">
        <v>9540</v>
      </c>
      <c r="J715" t="s">
        <v>9541</v>
      </c>
      <c r="K715" t="s">
        <v>74</v>
      </c>
      <c r="L715" t="s">
        <v>74</v>
      </c>
      <c r="M715" t="s">
        <v>77</v>
      </c>
      <c r="N715" t="s">
        <v>78</v>
      </c>
      <c r="O715" t="s">
        <v>74</v>
      </c>
      <c r="P715" t="s">
        <v>74</v>
      </c>
      <c r="Q715" t="s">
        <v>74</v>
      </c>
      <c r="R715" t="s">
        <v>74</v>
      </c>
      <c r="S715" t="s">
        <v>74</v>
      </c>
      <c r="T715" t="s">
        <v>9542</v>
      </c>
      <c r="U715" t="s">
        <v>9543</v>
      </c>
      <c r="V715" t="s">
        <v>9544</v>
      </c>
      <c r="W715" t="s">
        <v>8186</v>
      </c>
      <c r="X715" t="s">
        <v>8187</v>
      </c>
      <c r="Y715" t="s">
        <v>9545</v>
      </c>
      <c r="Z715" t="s">
        <v>74</v>
      </c>
      <c r="AA715" t="s">
        <v>9546</v>
      </c>
      <c r="AB715" t="s">
        <v>9547</v>
      </c>
      <c r="AC715" t="s">
        <v>74</v>
      </c>
      <c r="AD715" t="s">
        <v>74</v>
      </c>
      <c r="AE715" t="s">
        <v>74</v>
      </c>
      <c r="AF715" t="s">
        <v>74</v>
      </c>
      <c r="AG715">
        <v>62</v>
      </c>
      <c r="AH715">
        <v>125</v>
      </c>
      <c r="AI715">
        <v>136</v>
      </c>
      <c r="AJ715">
        <v>1</v>
      </c>
      <c r="AK715">
        <v>31</v>
      </c>
      <c r="AL715" t="s">
        <v>1120</v>
      </c>
      <c r="AM715" t="s">
        <v>1121</v>
      </c>
      <c r="AN715" t="s">
        <v>2394</v>
      </c>
      <c r="AO715" t="s">
        <v>9548</v>
      </c>
      <c r="AP715" t="s">
        <v>74</v>
      </c>
      <c r="AQ715" t="s">
        <v>74</v>
      </c>
      <c r="AR715" t="s">
        <v>9549</v>
      </c>
      <c r="AS715" t="s">
        <v>9550</v>
      </c>
      <c r="AT715" t="s">
        <v>9551</v>
      </c>
      <c r="AU715">
        <v>2000</v>
      </c>
      <c r="AV715">
        <v>169</v>
      </c>
      <c r="AW715" t="s">
        <v>870</v>
      </c>
      <c r="AX715" t="s">
        <v>74</v>
      </c>
      <c r="AY715" t="s">
        <v>74</v>
      </c>
      <c r="AZ715" t="s">
        <v>74</v>
      </c>
      <c r="BA715" t="s">
        <v>74</v>
      </c>
      <c r="BB715">
        <v>107</v>
      </c>
      <c r="BC715">
        <v>129</v>
      </c>
      <c r="BD715" t="s">
        <v>74</v>
      </c>
      <c r="BE715" t="s">
        <v>9552</v>
      </c>
      <c r="BF715" t="str">
        <f>HYPERLINK("http://dx.doi.org/10.1016/S0009-2541(00)00260-6","http://dx.doi.org/10.1016/S0009-2541(00)00260-6")</f>
        <v>http://dx.doi.org/10.1016/S0009-2541(00)00260-6</v>
      </c>
      <c r="BG715" t="s">
        <v>74</v>
      </c>
      <c r="BH715" t="s">
        <v>74</v>
      </c>
      <c r="BI715">
        <v>23</v>
      </c>
      <c r="BJ715" t="s">
        <v>953</v>
      </c>
      <c r="BK715" t="s">
        <v>94</v>
      </c>
      <c r="BL715" t="s">
        <v>953</v>
      </c>
      <c r="BM715" t="s">
        <v>9553</v>
      </c>
      <c r="BN715" t="s">
        <v>74</v>
      </c>
      <c r="BO715" t="s">
        <v>74</v>
      </c>
      <c r="BP715" t="s">
        <v>74</v>
      </c>
      <c r="BQ715" t="s">
        <v>74</v>
      </c>
      <c r="BR715" t="s">
        <v>97</v>
      </c>
      <c r="BS715" t="s">
        <v>9554</v>
      </c>
      <c r="BT715" t="str">
        <f>HYPERLINK("https%3A%2F%2Fwww.webofscience.com%2Fwos%2Fwoscc%2Ffull-record%2FWOS:000088941300008","View Full Record in Web of Science")</f>
        <v>View Full Record in Web of Science</v>
      </c>
    </row>
    <row r="716" spans="1:72" x14ac:dyDescent="0.15">
      <c r="A716" t="s">
        <v>72</v>
      </c>
      <c r="B716" t="s">
        <v>9555</v>
      </c>
      <c r="C716" t="s">
        <v>74</v>
      </c>
      <c r="D716" t="s">
        <v>74</v>
      </c>
      <c r="E716" t="s">
        <v>74</v>
      </c>
      <c r="F716" t="s">
        <v>9555</v>
      </c>
      <c r="G716" t="s">
        <v>74</v>
      </c>
      <c r="H716" t="s">
        <v>74</v>
      </c>
      <c r="I716" t="s">
        <v>9556</v>
      </c>
      <c r="J716" t="s">
        <v>1053</v>
      </c>
      <c r="K716" t="s">
        <v>74</v>
      </c>
      <c r="L716" t="s">
        <v>74</v>
      </c>
      <c r="M716" t="s">
        <v>77</v>
      </c>
      <c r="N716" t="s">
        <v>78</v>
      </c>
      <c r="O716" t="s">
        <v>74</v>
      </c>
      <c r="P716" t="s">
        <v>74</v>
      </c>
      <c r="Q716" t="s">
        <v>74</v>
      </c>
      <c r="R716" t="s">
        <v>74</v>
      </c>
      <c r="S716" t="s">
        <v>74</v>
      </c>
      <c r="T716" t="s">
        <v>74</v>
      </c>
      <c r="U716" t="s">
        <v>9557</v>
      </c>
      <c r="V716" t="s">
        <v>9558</v>
      </c>
      <c r="W716" t="s">
        <v>9559</v>
      </c>
      <c r="X716" t="s">
        <v>9560</v>
      </c>
      <c r="Y716" t="s">
        <v>9561</v>
      </c>
      <c r="Z716" t="s">
        <v>74</v>
      </c>
      <c r="AA716" t="s">
        <v>9562</v>
      </c>
      <c r="AB716" t="s">
        <v>9563</v>
      </c>
      <c r="AC716" t="s">
        <v>74</v>
      </c>
      <c r="AD716" t="s">
        <v>74</v>
      </c>
      <c r="AE716" t="s">
        <v>74</v>
      </c>
      <c r="AF716" t="s">
        <v>74</v>
      </c>
      <c r="AG716">
        <v>15</v>
      </c>
      <c r="AH716">
        <v>4</v>
      </c>
      <c r="AI716">
        <v>6</v>
      </c>
      <c r="AJ716">
        <v>0</v>
      </c>
      <c r="AK716">
        <v>4</v>
      </c>
      <c r="AL716" t="s">
        <v>1059</v>
      </c>
      <c r="AM716" t="s">
        <v>1060</v>
      </c>
      <c r="AN716" t="s">
        <v>1061</v>
      </c>
      <c r="AO716" t="s">
        <v>1062</v>
      </c>
      <c r="AP716" t="s">
        <v>74</v>
      </c>
      <c r="AQ716" t="s">
        <v>74</v>
      </c>
      <c r="AR716" t="s">
        <v>1063</v>
      </c>
      <c r="AS716" t="s">
        <v>1064</v>
      </c>
      <c r="AT716" t="s">
        <v>9551</v>
      </c>
      <c r="AU716">
        <v>2000</v>
      </c>
      <c r="AV716">
        <v>27</v>
      </c>
      <c r="AW716">
        <v>16</v>
      </c>
      <c r="AX716" t="s">
        <v>74</v>
      </c>
      <c r="AY716" t="s">
        <v>74</v>
      </c>
      <c r="AZ716" t="s">
        <v>74</v>
      </c>
      <c r="BA716" t="s">
        <v>74</v>
      </c>
      <c r="BB716">
        <v>2477</v>
      </c>
      <c r="BC716">
        <v>2480</v>
      </c>
      <c r="BD716" t="s">
        <v>74</v>
      </c>
      <c r="BE716" t="s">
        <v>9564</v>
      </c>
      <c r="BF716" t="str">
        <f>HYPERLINK("http://dx.doi.org/10.1029/2000GL000036","http://dx.doi.org/10.1029/2000GL000036")</f>
        <v>http://dx.doi.org/10.1029/2000GL000036</v>
      </c>
      <c r="BG716" t="s">
        <v>74</v>
      </c>
      <c r="BH716" t="s">
        <v>74</v>
      </c>
      <c r="BI716">
        <v>4</v>
      </c>
      <c r="BJ716" t="s">
        <v>595</v>
      </c>
      <c r="BK716" t="s">
        <v>94</v>
      </c>
      <c r="BL716" t="s">
        <v>597</v>
      </c>
      <c r="BM716" t="s">
        <v>9565</v>
      </c>
      <c r="BN716" t="s">
        <v>74</v>
      </c>
      <c r="BO716" t="s">
        <v>8840</v>
      </c>
      <c r="BP716" t="s">
        <v>74</v>
      </c>
      <c r="BQ716" t="s">
        <v>74</v>
      </c>
      <c r="BR716" t="s">
        <v>97</v>
      </c>
      <c r="BS716" t="s">
        <v>9566</v>
      </c>
      <c r="BT716" t="str">
        <f>HYPERLINK("https%3A%2F%2Fwww.webofscience.com%2Fwos%2Fwoscc%2Ffull-record%2FWOS:000088771500032","View Full Record in Web of Science")</f>
        <v>View Full Record in Web of Science</v>
      </c>
    </row>
    <row r="717" spans="1:72" x14ac:dyDescent="0.15">
      <c r="A717" t="s">
        <v>72</v>
      </c>
      <c r="B717" t="s">
        <v>9567</v>
      </c>
      <c r="C717" t="s">
        <v>74</v>
      </c>
      <c r="D717" t="s">
        <v>74</v>
      </c>
      <c r="E717" t="s">
        <v>74</v>
      </c>
      <c r="F717" t="s">
        <v>9567</v>
      </c>
      <c r="G717" t="s">
        <v>74</v>
      </c>
      <c r="H717" t="s">
        <v>74</v>
      </c>
      <c r="I717" t="s">
        <v>9568</v>
      </c>
      <c r="J717" t="s">
        <v>4907</v>
      </c>
      <c r="K717" t="s">
        <v>74</v>
      </c>
      <c r="L717" t="s">
        <v>74</v>
      </c>
      <c r="M717" t="s">
        <v>77</v>
      </c>
      <c r="N717" t="s">
        <v>78</v>
      </c>
      <c r="O717" t="s">
        <v>74</v>
      </c>
      <c r="P717" t="s">
        <v>74</v>
      </c>
      <c r="Q717" t="s">
        <v>74</v>
      </c>
      <c r="R717" t="s">
        <v>74</v>
      </c>
      <c r="S717" t="s">
        <v>74</v>
      </c>
      <c r="T717" t="s">
        <v>74</v>
      </c>
      <c r="U717" t="s">
        <v>9569</v>
      </c>
      <c r="V717" t="s">
        <v>9570</v>
      </c>
      <c r="W717" t="s">
        <v>9571</v>
      </c>
      <c r="X717" t="s">
        <v>9572</v>
      </c>
      <c r="Y717" t="s">
        <v>8868</v>
      </c>
      <c r="Z717" t="s">
        <v>9573</v>
      </c>
      <c r="AA717" t="s">
        <v>9574</v>
      </c>
      <c r="AB717" t="s">
        <v>9575</v>
      </c>
      <c r="AC717" t="s">
        <v>74</v>
      </c>
      <c r="AD717" t="s">
        <v>74</v>
      </c>
      <c r="AE717" t="s">
        <v>74</v>
      </c>
      <c r="AF717" t="s">
        <v>74</v>
      </c>
      <c r="AG717">
        <v>61</v>
      </c>
      <c r="AH717">
        <v>229</v>
      </c>
      <c r="AI717">
        <v>265</v>
      </c>
      <c r="AJ717">
        <v>7</v>
      </c>
      <c r="AK717">
        <v>59</v>
      </c>
      <c r="AL717" t="s">
        <v>1059</v>
      </c>
      <c r="AM717" t="s">
        <v>1060</v>
      </c>
      <c r="AN717" t="s">
        <v>1061</v>
      </c>
      <c r="AO717" t="s">
        <v>4916</v>
      </c>
      <c r="AP717" t="s">
        <v>4917</v>
      </c>
      <c r="AQ717" t="s">
        <v>74</v>
      </c>
      <c r="AR717" t="s">
        <v>4918</v>
      </c>
      <c r="AS717" t="s">
        <v>4919</v>
      </c>
      <c r="AT717" t="s">
        <v>9551</v>
      </c>
      <c r="AU717">
        <v>2000</v>
      </c>
      <c r="AV717">
        <v>105</v>
      </c>
      <c r="AW717" t="s">
        <v>9576</v>
      </c>
      <c r="AX717" t="s">
        <v>74</v>
      </c>
      <c r="AY717" t="s">
        <v>74</v>
      </c>
      <c r="AZ717" t="s">
        <v>74</v>
      </c>
      <c r="BA717" t="s">
        <v>74</v>
      </c>
      <c r="BB717">
        <v>19599</v>
      </c>
      <c r="BC717">
        <v>19614</v>
      </c>
      <c r="BD717" t="s">
        <v>74</v>
      </c>
      <c r="BE717" t="s">
        <v>9577</v>
      </c>
      <c r="BF717" t="str">
        <f>HYPERLINK("http://dx.doi.org/10.1029/2000JC000265","http://dx.doi.org/10.1029/2000JC000265")</f>
        <v>http://dx.doi.org/10.1029/2000JC000265</v>
      </c>
      <c r="BG717" t="s">
        <v>74</v>
      </c>
      <c r="BH717" t="s">
        <v>74</v>
      </c>
      <c r="BI717">
        <v>16</v>
      </c>
      <c r="BJ717" t="s">
        <v>252</v>
      </c>
      <c r="BK717" t="s">
        <v>94</v>
      </c>
      <c r="BL717" t="s">
        <v>252</v>
      </c>
      <c r="BM717" t="s">
        <v>9578</v>
      </c>
      <c r="BN717" t="s">
        <v>74</v>
      </c>
      <c r="BO717" t="s">
        <v>1755</v>
      </c>
      <c r="BP717" t="s">
        <v>74</v>
      </c>
      <c r="BQ717" t="s">
        <v>74</v>
      </c>
      <c r="BR717" t="s">
        <v>97</v>
      </c>
      <c r="BS717" t="s">
        <v>9579</v>
      </c>
      <c r="BT717" t="str">
        <f>HYPERLINK("https%3A%2F%2Fwww.webofscience.com%2Fwos%2Fwoscc%2Ffull-record%2FWOS:000088748300009","View Full Record in Web of Science")</f>
        <v>View Full Record in Web of Science</v>
      </c>
    </row>
    <row r="718" spans="1:72" x14ac:dyDescent="0.15">
      <c r="A718" t="s">
        <v>72</v>
      </c>
      <c r="B718" t="s">
        <v>9580</v>
      </c>
      <c r="C718" t="s">
        <v>74</v>
      </c>
      <c r="D718" t="s">
        <v>74</v>
      </c>
      <c r="E718" t="s">
        <v>74</v>
      </c>
      <c r="F718" t="s">
        <v>9580</v>
      </c>
      <c r="G718" t="s">
        <v>74</v>
      </c>
      <c r="H718" t="s">
        <v>74</v>
      </c>
      <c r="I718" t="s">
        <v>9581</v>
      </c>
      <c r="J718" t="s">
        <v>4938</v>
      </c>
      <c r="K718" t="s">
        <v>74</v>
      </c>
      <c r="L718" t="s">
        <v>74</v>
      </c>
      <c r="M718" t="s">
        <v>77</v>
      </c>
      <c r="N718" t="s">
        <v>78</v>
      </c>
      <c r="O718" t="s">
        <v>74</v>
      </c>
      <c r="P718" t="s">
        <v>74</v>
      </c>
      <c r="Q718" t="s">
        <v>74</v>
      </c>
      <c r="R718" t="s">
        <v>74</v>
      </c>
      <c r="S718" t="s">
        <v>74</v>
      </c>
      <c r="T718" t="s">
        <v>9582</v>
      </c>
      <c r="U718" t="s">
        <v>74</v>
      </c>
      <c r="V718" t="s">
        <v>9583</v>
      </c>
      <c r="W718" t="s">
        <v>7955</v>
      </c>
      <c r="X718" t="s">
        <v>1250</v>
      </c>
      <c r="Y718" t="s">
        <v>9584</v>
      </c>
      <c r="Z718" t="s">
        <v>74</v>
      </c>
      <c r="AA718" t="s">
        <v>74</v>
      </c>
      <c r="AB718" t="s">
        <v>9585</v>
      </c>
      <c r="AC718" t="s">
        <v>74</v>
      </c>
      <c r="AD718" t="s">
        <v>74</v>
      </c>
      <c r="AE718" t="s">
        <v>74</v>
      </c>
      <c r="AF718" t="s">
        <v>74</v>
      </c>
      <c r="AG718">
        <v>21</v>
      </c>
      <c r="AH718">
        <v>13</v>
      </c>
      <c r="AI718">
        <v>13</v>
      </c>
      <c r="AJ718">
        <v>0</v>
      </c>
      <c r="AK718">
        <v>2</v>
      </c>
      <c r="AL718" t="s">
        <v>1120</v>
      </c>
      <c r="AM718" t="s">
        <v>1121</v>
      </c>
      <c r="AN718" t="s">
        <v>2394</v>
      </c>
      <c r="AO718" t="s">
        <v>4944</v>
      </c>
      <c r="AP718" t="s">
        <v>74</v>
      </c>
      <c r="AQ718" t="s">
        <v>74</v>
      </c>
      <c r="AR718" t="s">
        <v>4945</v>
      </c>
      <c r="AS718" t="s">
        <v>4946</v>
      </c>
      <c r="AT718" t="s">
        <v>9551</v>
      </c>
      <c r="AU718">
        <v>2000</v>
      </c>
      <c r="AV718">
        <v>168</v>
      </c>
      <c r="AW718" t="s">
        <v>4018</v>
      </c>
      <c r="AX718" t="s">
        <v>74</v>
      </c>
      <c r="AY718" t="s">
        <v>74</v>
      </c>
      <c r="AZ718" t="s">
        <v>74</v>
      </c>
      <c r="BA718" t="s">
        <v>74</v>
      </c>
      <c r="BB718">
        <v>45</v>
      </c>
      <c r="BC718">
        <v>60</v>
      </c>
      <c r="BD718" t="s">
        <v>74</v>
      </c>
      <c r="BE718" t="s">
        <v>9586</v>
      </c>
      <c r="BF718" t="str">
        <f>HYPERLINK("http://dx.doi.org/10.1016/S0025-3227(00)00048-7","http://dx.doi.org/10.1016/S0025-3227(00)00048-7")</f>
        <v>http://dx.doi.org/10.1016/S0025-3227(00)00048-7</v>
      </c>
      <c r="BG718" t="s">
        <v>74</v>
      </c>
      <c r="BH718" t="s">
        <v>74</v>
      </c>
      <c r="BI718">
        <v>16</v>
      </c>
      <c r="BJ718" t="s">
        <v>4948</v>
      </c>
      <c r="BK718" t="s">
        <v>94</v>
      </c>
      <c r="BL718" t="s">
        <v>4949</v>
      </c>
      <c r="BM718" t="s">
        <v>9587</v>
      </c>
      <c r="BN718" t="s">
        <v>74</v>
      </c>
      <c r="BO718" t="s">
        <v>74</v>
      </c>
      <c r="BP718" t="s">
        <v>74</v>
      </c>
      <c r="BQ718" t="s">
        <v>74</v>
      </c>
      <c r="BR718" t="s">
        <v>97</v>
      </c>
      <c r="BS718" t="s">
        <v>9588</v>
      </c>
      <c r="BT718" t="str">
        <f>HYPERLINK("https%3A%2F%2Fwww.webofscience.com%2Fwos%2Fwoscc%2Ffull-record%2FWOS:000088791500003","View Full Record in Web of Science")</f>
        <v>View Full Record in Web of Science</v>
      </c>
    </row>
    <row r="719" spans="1:72" x14ac:dyDescent="0.15">
      <c r="A719" t="s">
        <v>72</v>
      </c>
      <c r="B719" t="s">
        <v>9589</v>
      </c>
      <c r="C719" t="s">
        <v>74</v>
      </c>
      <c r="D719" t="s">
        <v>74</v>
      </c>
      <c r="E719" t="s">
        <v>74</v>
      </c>
      <c r="F719" t="s">
        <v>9589</v>
      </c>
      <c r="G719" t="s">
        <v>74</v>
      </c>
      <c r="H719" t="s">
        <v>74</v>
      </c>
      <c r="I719" t="s">
        <v>9590</v>
      </c>
      <c r="J719" t="s">
        <v>4824</v>
      </c>
      <c r="K719" t="s">
        <v>74</v>
      </c>
      <c r="L719" t="s">
        <v>74</v>
      </c>
      <c r="M719" t="s">
        <v>77</v>
      </c>
      <c r="N719" t="s">
        <v>78</v>
      </c>
      <c r="O719" t="s">
        <v>74</v>
      </c>
      <c r="P719" t="s">
        <v>74</v>
      </c>
      <c r="Q719" t="s">
        <v>74</v>
      </c>
      <c r="R719" t="s">
        <v>74</v>
      </c>
      <c r="S719" t="s">
        <v>74</v>
      </c>
      <c r="T719" t="s">
        <v>74</v>
      </c>
      <c r="U719" t="s">
        <v>9591</v>
      </c>
      <c r="V719" t="s">
        <v>9592</v>
      </c>
      <c r="W719" t="s">
        <v>9593</v>
      </c>
      <c r="X719" t="s">
        <v>4828</v>
      </c>
      <c r="Y719" t="s">
        <v>9594</v>
      </c>
      <c r="Z719" t="s">
        <v>74</v>
      </c>
      <c r="AA719" t="s">
        <v>4830</v>
      </c>
      <c r="AB719" t="s">
        <v>4831</v>
      </c>
      <c r="AC719" t="s">
        <v>74</v>
      </c>
      <c r="AD719" t="s">
        <v>74</v>
      </c>
      <c r="AE719" t="s">
        <v>74</v>
      </c>
      <c r="AF719" t="s">
        <v>74</v>
      </c>
      <c r="AG719">
        <v>42</v>
      </c>
      <c r="AH719">
        <v>13</v>
      </c>
      <c r="AI719">
        <v>15</v>
      </c>
      <c r="AJ719">
        <v>0</v>
      </c>
      <c r="AK719">
        <v>5</v>
      </c>
      <c r="AL719" t="s">
        <v>4832</v>
      </c>
      <c r="AM719" t="s">
        <v>1060</v>
      </c>
      <c r="AN719" t="s">
        <v>4833</v>
      </c>
      <c r="AO719" t="s">
        <v>4834</v>
      </c>
      <c r="AP719" t="s">
        <v>6219</v>
      </c>
      <c r="AQ719" t="s">
        <v>74</v>
      </c>
      <c r="AR719" t="s">
        <v>4835</v>
      </c>
      <c r="AS719" t="s">
        <v>4836</v>
      </c>
      <c r="AT719" t="s">
        <v>9595</v>
      </c>
      <c r="AU719">
        <v>2000</v>
      </c>
      <c r="AV719">
        <v>104</v>
      </c>
      <c r="AW719">
        <v>31</v>
      </c>
      <c r="AX719" t="s">
        <v>74</v>
      </c>
      <c r="AY719" t="s">
        <v>74</v>
      </c>
      <c r="AZ719" t="s">
        <v>74</v>
      </c>
      <c r="BA719" t="s">
        <v>74</v>
      </c>
      <c r="BB719">
        <v>7268</v>
      </c>
      <c r="BC719">
        <v>7277</v>
      </c>
      <c r="BD719" t="s">
        <v>74</v>
      </c>
      <c r="BE719" t="s">
        <v>9596</v>
      </c>
      <c r="BF719" t="str">
        <f>HYPERLINK("http://dx.doi.org/10.1021/jp001018z","http://dx.doi.org/10.1021/jp001018z")</f>
        <v>http://dx.doi.org/10.1021/jp001018z</v>
      </c>
      <c r="BG719" t="s">
        <v>74</v>
      </c>
      <c r="BH719" t="s">
        <v>74</v>
      </c>
      <c r="BI719">
        <v>10</v>
      </c>
      <c r="BJ719" t="s">
        <v>4839</v>
      </c>
      <c r="BK719" t="s">
        <v>94</v>
      </c>
      <c r="BL719" t="s">
        <v>4840</v>
      </c>
      <c r="BM719" t="s">
        <v>9597</v>
      </c>
      <c r="BN719" t="s">
        <v>74</v>
      </c>
      <c r="BO719" t="s">
        <v>74</v>
      </c>
      <c r="BP719" t="s">
        <v>74</v>
      </c>
      <c r="BQ719" t="s">
        <v>74</v>
      </c>
      <c r="BR719" t="s">
        <v>97</v>
      </c>
      <c r="BS719" t="s">
        <v>9598</v>
      </c>
      <c r="BT719" t="str">
        <f>HYPERLINK("https%3A%2F%2Fwww.webofscience.com%2Fwos%2Fwoscc%2Ffull-record%2FWOS:000088683600017","View Full Record in Web of Science")</f>
        <v>View Full Record in Web of Science</v>
      </c>
    </row>
    <row r="720" spans="1:72" x14ac:dyDescent="0.15">
      <c r="A720" t="s">
        <v>72</v>
      </c>
      <c r="B720" t="s">
        <v>9599</v>
      </c>
      <c r="C720" t="s">
        <v>74</v>
      </c>
      <c r="D720" t="s">
        <v>74</v>
      </c>
      <c r="E720" t="s">
        <v>74</v>
      </c>
      <c r="F720" t="s">
        <v>9599</v>
      </c>
      <c r="G720" t="s">
        <v>74</v>
      </c>
      <c r="H720" t="s">
        <v>74</v>
      </c>
      <c r="I720" t="s">
        <v>9600</v>
      </c>
      <c r="J720" t="s">
        <v>7354</v>
      </c>
      <c r="K720" t="s">
        <v>74</v>
      </c>
      <c r="L720" t="s">
        <v>74</v>
      </c>
      <c r="M720" t="s">
        <v>77</v>
      </c>
      <c r="N720" t="s">
        <v>78</v>
      </c>
      <c r="O720" t="s">
        <v>74</v>
      </c>
      <c r="P720" t="s">
        <v>74</v>
      </c>
      <c r="Q720" t="s">
        <v>74</v>
      </c>
      <c r="R720" t="s">
        <v>74</v>
      </c>
      <c r="S720" t="s">
        <v>74</v>
      </c>
      <c r="T720" t="s">
        <v>74</v>
      </c>
      <c r="U720" t="s">
        <v>9601</v>
      </c>
      <c r="V720" t="s">
        <v>9602</v>
      </c>
      <c r="W720" t="s">
        <v>9603</v>
      </c>
      <c r="X720" t="s">
        <v>9604</v>
      </c>
      <c r="Y720" t="s">
        <v>9605</v>
      </c>
      <c r="Z720" t="s">
        <v>9606</v>
      </c>
      <c r="AA720" t="s">
        <v>9607</v>
      </c>
      <c r="AB720" t="s">
        <v>9608</v>
      </c>
      <c r="AC720" t="s">
        <v>74</v>
      </c>
      <c r="AD720" t="s">
        <v>74</v>
      </c>
      <c r="AE720" t="s">
        <v>74</v>
      </c>
      <c r="AF720" t="s">
        <v>74</v>
      </c>
      <c r="AG720">
        <v>31</v>
      </c>
      <c r="AH720">
        <v>248</v>
      </c>
      <c r="AI720">
        <v>269</v>
      </c>
      <c r="AJ720">
        <v>3</v>
      </c>
      <c r="AK720">
        <v>89</v>
      </c>
      <c r="AL720" t="s">
        <v>8205</v>
      </c>
      <c r="AM720" t="s">
        <v>1208</v>
      </c>
      <c r="AN720" t="s">
        <v>8206</v>
      </c>
      <c r="AO720" t="s">
        <v>7364</v>
      </c>
      <c r="AP720" t="s">
        <v>8207</v>
      </c>
      <c r="AQ720" t="s">
        <v>74</v>
      </c>
      <c r="AR720" t="s">
        <v>7354</v>
      </c>
      <c r="AS720" t="s">
        <v>7365</v>
      </c>
      <c r="AT720" t="s">
        <v>9609</v>
      </c>
      <c r="AU720">
        <v>2000</v>
      </c>
      <c r="AV720">
        <v>406</v>
      </c>
      <c r="AW720">
        <v>6795</v>
      </c>
      <c r="AX720" t="s">
        <v>74</v>
      </c>
      <c r="AY720" t="s">
        <v>74</v>
      </c>
      <c r="AZ720" t="s">
        <v>74</v>
      </c>
      <c r="BA720" t="s">
        <v>74</v>
      </c>
      <c r="BB720">
        <v>504</v>
      </c>
      <c r="BC720">
        <v>507</v>
      </c>
      <c r="BD720" t="s">
        <v>74</v>
      </c>
      <c r="BE720" t="s">
        <v>9610</v>
      </c>
      <c r="BF720" t="str">
        <f>HYPERLINK("http://dx.doi.org/10.1038/35020053","http://dx.doi.org/10.1038/35020053")</f>
        <v>http://dx.doi.org/10.1038/35020053</v>
      </c>
      <c r="BG720" t="s">
        <v>74</v>
      </c>
      <c r="BH720" t="s">
        <v>74</v>
      </c>
      <c r="BI720">
        <v>5</v>
      </c>
      <c r="BJ720" t="s">
        <v>93</v>
      </c>
      <c r="BK720" t="s">
        <v>94</v>
      </c>
      <c r="BL720" t="s">
        <v>95</v>
      </c>
      <c r="BM720" t="s">
        <v>9611</v>
      </c>
      <c r="BN720">
        <v>10952309</v>
      </c>
      <c r="BO720" t="s">
        <v>74</v>
      </c>
      <c r="BP720" t="s">
        <v>74</v>
      </c>
      <c r="BQ720" t="s">
        <v>74</v>
      </c>
      <c r="BR720" t="s">
        <v>97</v>
      </c>
      <c r="BS720" t="s">
        <v>9612</v>
      </c>
      <c r="BT720" t="str">
        <f>HYPERLINK("https%3A%2F%2Fwww.webofscience.com%2Fwos%2Fwoscc%2Ffull-record%2FWOS:000088538000043","View Full Record in Web of Science")</f>
        <v>View Full Record in Web of Science</v>
      </c>
    </row>
    <row r="721" spans="1:72" x14ac:dyDescent="0.15">
      <c r="A721" t="s">
        <v>72</v>
      </c>
      <c r="B721" t="s">
        <v>9613</v>
      </c>
      <c r="C721" t="s">
        <v>74</v>
      </c>
      <c r="D721" t="s">
        <v>74</v>
      </c>
      <c r="E721" t="s">
        <v>74</v>
      </c>
      <c r="F721" t="s">
        <v>9613</v>
      </c>
      <c r="G721" t="s">
        <v>74</v>
      </c>
      <c r="H721" t="s">
        <v>74</v>
      </c>
      <c r="I721" t="s">
        <v>9614</v>
      </c>
      <c r="J721" t="s">
        <v>9615</v>
      </c>
      <c r="K721" t="s">
        <v>74</v>
      </c>
      <c r="L721" t="s">
        <v>74</v>
      </c>
      <c r="M721" t="s">
        <v>77</v>
      </c>
      <c r="N721" t="s">
        <v>78</v>
      </c>
      <c r="O721" t="s">
        <v>74</v>
      </c>
      <c r="P721" t="s">
        <v>74</v>
      </c>
      <c r="Q721" t="s">
        <v>74</v>
      </c>
      <c r="R721" t="s">
        <v>74</v>
      </c>
      <c r="S721" t="s">
        <v>74</v>
      </c>
      <c r="T721" t="s">
        <v>9616</v>
      </c>
      <c r="U721" t="s">
        <v>9617</v>
      </c>
      <c r="V721" t="s">
        <v>9618</v>
      </c>
      <c r="W721" t="s">
        <v>9619</v>
      </c>
      <c r="X721" t="s">
        <v>5200</v>
      </c>
      <c r="Y721" t="s">
        <v>9620</v>
      </c>
      <c r="Z721" t="s">
        <v>74</v>
      </c>
      <c r="AA721" t="s">
        <v>9621</v>
      </c>
      <c r="AB721" t="s">
        <v>9622</v>
      </c>
      <c r="AC721" t="s">
        <v>74</v>
      </c>
      <c r="AD721" t="s">
        <v>74</v>
      </c>
      <c r="AE721" t="s">
        <v>74</v>
      </c>
      <c r="AF721" t="s">
        <v>74</v>
      </c>
      <c r="AG721">
        <v>24</v>
      </c>
      <c r="AH721">
        <v>19</v>
      </c>
      <c r="AI721">
        <v>20</v>
      </c>
      <c r="AJ721">
        <v>0</v>
      </c>
      <c r="AK721">
        <v>2</v>
      </c>
      <c r="AL721" t="s">
        <v>1347</v>
      </c>
      <c r="AM721" t="s">
        <v>1348</v>
      </c>
      <c r="AN721" t="s">
        <v>4118</v>
      </c>
      <c r="AO721" t="s">
        <v>9623</v>
      </c>
      <c r="AP721" t="s">
        <v>74</v>
      </c>
      <c r="AQ721" t="s">
        <v>74</v>
      </c>
      <c r="AR721" t="s">
        <v>9624</v>
      </c>
      <c r="AS721" t="s">
        <v>9625</v>
      </c>
      <c r="AT721" t="s">
        <v>9626</v>
      </c>
      <c r="AU721">
        <v>2000</v>
      </c>
      <c r="AV721">
        <v>274</v>
      </c>
      <c r="AW721">
        <v>2</v>
      </c>
      <c r="AX721" t="s">
        <v>74</v>
      </c>
      <c r="AY721" t="s">
        <v>74</v>
      </c>
      <c r="AZ721" t="s">
        <v>74</v>
      </c>
      <c r="BA721" t="s">
        <v>74</v>
      </c>
      <c r="BB721">
        <v>488</v>
      </c>
      <c r="BC721">
        <v>495</v>
      </c>
      <c r="BD721" t="s">
        <v>74</v>
      </c>
      <c r="BE721" t="s">
        <v>9627</v>
      </c>
      <c r="BF721" t="str">
        <f>HYPERLINK("http://dx.doi.org/10.1006/bbrc.2000.3148","http://dx.doi.org/10.1006/bbrc.2000.3148")</f>
        <v>http://dx.doi.org/10.1006/bbrc.2000.3148</v>
      </c>
      <c r="BG721" t="s">
        <v>74</v>
      </c>
      <c r="BH721" t="s">
        <v>74</v>
      </c>
      <c r="BI721">
        <v>8</v>
      </c>
      <c r="BJ721" t="s">
        <v>4732</v>
      </c>
      <c r="BK721" t="s">
        <v>94</v>
      </c>
      <c r="BL721" t="s">
        <v>4732</v>
      </c>
      <c r="BM721" t="s">
        <v>9628</v>
      </c>
      <c r="BN721">
        <v>10913365</v>
      </c>
      <c r="BO721" t="s">
        <v>74</v>
      </c>
      <c r="BP721" t="s">
        <v>74</v>
      </c>
      <c r="BQ721" t="s">
        <v>74</v>
      </c>
      <c r="BR721" t="s">
        <v>97</v>
      </c>
      <c r="BS721" t="s">
        <v>9629</v>
      </c>
      <c r="BT721" t="str">
        <f>HYPERLINK("https%3A%2F%2Fwww.webofscience.com%2Fwos%2Fwoscc%2Ffull-record%2FWOS:000088592500036","View Full Record in Web of Science")</f>
        <v>View Full Record in Web of Science</v>
      </c>
    </row>
    <row r="722" spans="1:72" x14ac:dyDescent="0.15">
      <c r="A722" t="s">
        <v>72</v>
      </c>
      <c r="B722" t="s">
        <v>9630</v>
      </c>
      <c r="C722" t="s">
        <v>74</v>
      </c>
      <c r="D722" t="s">
        <v>74</v>
      </c>
      <c r="E722" t="s">
        <v>74</v>
      </c>
      <c r="F722" t="s">
        <v>9630</v>
      </c>
      <c r="G722" t="s">
        <v>74</v>
      </c>
      <c r="H722" t="s">
        <v>74</v>
      </c>
      <c r="I722" t="s">
        <v>9631</v>
      </c>
      <c r="J722" t="s">
        <v>9632</v>
      </c>
      <c r="K722" t="s">
        <v>74</v>
      </c>
      <c r="L722" t="s">
        <v>74</v>
      </c>
      <c r="M722" t="s">
        <v>77</v>
      </c>
      <c r="N722" t="s">
        <v>78</v>
      </c>
      <c r="O722" t="s">
        <v>74</v>
      </c>
      <c r="P722" t="s">
        <v>74</v>
      </c>
      <c r="Q722" t="s">
        <v>74</v>
      </c>
      <c r="R722" t="s">
        <v>74</v>
      </c>
      <c r="S722" t="s">
        <v>74</v>
      </c>
      <c r="T722" t="s">
        <v>74</v>
      </c>
      <c r="U722" t="s">
        <v>9633</v>
      </c>
      <c r="V722" t="s">
        <v>9634</v>
      </c>
      <c r="W722" t="s">
        <v>9635</v>
      </c>
      <c r="X722" t="s">
        <v>9636</v>
      </c>
      <c r="Y722" t="s">
        <v>9637</v>
      </c>
      <c r="Z722" t="s">
        <v>74</v>
      </c>
      <c r="AA722" t="s">
        <v>9638</v>
      </c>
      <c r="AB722" t="s">
        <v>9639</v>
      </c>
      <c r="AC722" t="s">
        <v>74</v>
      </c>
      <c r="AD722" t="s">
        <v>74</v>
      </c>
      <c r="AE722" t="s">
        <v>74</v>
      </c>
      <c r="AF722" t="s">
        <v>74</v>
      </c>
      <c r="AG722">
        <v>77</v>
      </c>
      <c r="AH722">
        <v>118</v>
      </c>
      <c r="AI722">
        <v>135</v>
      </c>
      <c r="AJ722">
        <v>3</v>
      </c>
      <c r="AK722">
        <v>25</v>
      </c>
      <c r="AL722" t="s">
        <v>9640</v>
      </c>
      <c r="AM722" t="s">
        <v>1060</v>
      </c>
      <c r="AN722" t="s">
        <v>9641</v>
      </c>
      <c r="AO722" t="s">
        <v>9642</v>
      </c>
      <c r="AP722" t="s">
        <v>74</v>
      </c>
      <c r="AQ722" t="s">
        <v>74</v>
      </c>
      <c r="AR722" t="s">
        <v>9643</v>
      </c>
      <c r="AS722" t="s">
        <v>9644</v>
      </c>
      <c r="AT722" t="s">
        <v>9645</v>
      </c>
      <c r="AU722">
        <v>2000</v>
      </c>
      <c r="AV722">
        <v>66</v>
      </c>
      <c r="AW722">
        <v>8</v>
      </c>
      <c r="AX722" t="s">
        <v>74</v>
      </c>
      <c r="AY722" t="s">
        <v>74</v>
      </c>
      <c r="AZ722" t="s">
        <v>74</v>
      </c>
      <c r="BA722" t="s">
        <v>74</v>
      </c>
      <c r="BB722">
        <v>3125</v>
      </c>
      <c r="BC722">
        <v>3133</v>
      </c>
      <c r="BD722" t="s">
        <v>74</v>
      </c>
      <c r="BE722" t="s">
        <v>9646</v>
      </c>
      <c r="BF722" t="str">
        <f>HYPERLINK("http://dx.doi.org/10.1128/AEM.66.8.3125-3133.2000","http://dx.doi.org/10.1128/AEM.66.8.3125-3133.2000")</f>
        <v>http://dx.doi.org/10.1128/AEM.66.8.3125-3133.2000</v>
      </c>
      <c r="BG722" t="s">
        <v>74</v>
      </c>
      <c r="BH722" t="s">
        <v>74</v>
      </c>
      <c r="BI722">
        <v>9</v>
      </c>
      <c r="BJ722" t="s">
        <v>3384</v>
      </c>
      <c r="BK722" t="s">
        <v>94</v>
      </c>
      <c r="BL722" t="s">
        <v>3384</v>
      </c>
      <c r="BM722" t="s">
        <v>9647</v>
      </c>
      <c r="BN722">
        <v>10919760</v>
      </c>
      <c r="BO722" t="s">
        <v>1337</v>
      </c>
      <c r="BP722" t="s">
        <v>74</v>
      </c>
      <c r="BQ722" t="s">
        <v>74</v>
      </c>
      <c r="BR722" t="s">
        <v>97</v>
      </c>
      <c r="BS722" t="s">
        <v>9648</v>
      </c>
      <c r="BT722" t="str">
        <f>HYPERLINK("https%3A%2F%2Fwww.webofscience.com%2Fwos%2Fwoscc%2Ffull-record%2FWOS:000088546300001","View Full Record in Web of Science")</f>
        <v>View Full Record in Web of Science</v>
      </c>
    </row>
    <row r="723" spans="1:72" x14ac:dyDescent="0.15">
      <c r="A723" t="s">
        <v>72</v>
      </c>
      <c r="B723" t="s">
        <v>9649</v>
      </c>
      <c r="C723" t="s">
        <v>74</v>
      </c>
      <c r="D723" t="s">
        <v>74</v>
      </c>
      <c r="E723" t="s">
        <v>74</v>
      </c>
      <c r="F723" t="s">
        <v>9649</v>
      </c>
      <c r="G723" t="s">
        <v>74</v>
      </c>
      <c r="H723" t="s">
        <v>74</v>
      </c>
      <c r="I723" t="s">
        <v>9650</v>
      </c>
      <c r="J723" t="s">
        <v>9651</v>
      </c>
      <c r="K723" t="s">
        <v>74</v>
      </c>
      <c r="L723" t="s">
        <v>74</v>
      </c>
      <c r="M723" t="s">
        <v>77</v>
      </c>
      <c r="N723" t="s">
        <v>78</v>
      </c>
      <c r="O723" t="s">
        <v>74</v>
      </c>
      <c r="P723" t="s">
        <v>74</v>
      </c>
      <c r="Q723" t="s">
        <v>74</v>
      </c>
      <c r="R723" t="s">
        <v>74</v>
      </c>
      <c r="S723" t="s">
        <v>74</v>
      </c>
      <c r="T723" t="s">
        <v>9652</v>
      </c>
      <c r="U723" t="s">
        <v>9653</v>
      </c>
      <c r="V723" t="s">
        <v>9654</v>
      </c>
      <c r="W723" t="s">
        <v>9655</v>
      </c>
      <c r="X723" t="s">
        <v>9656</v>
      </c>
      <c r="Y723" t="s">
        <v>9657</v>
      </c>
      <c r="Z723" t="s">
        <v>74</v>
      </c>
      <c r="AA723" t="s">
        <v>9658</v>
      </c>
      <c r="AB723" t="s">
        <v>9659</v>
      </c>
      <c r="AC723" t="s">
        <v>74</v>
      </c>
      <c r="AD723" t="s">
        <v>74</v>
      </c>
      <c r="AE723" t="s">
        <v>74</v>
      </c>
      <c r="AF723" t="s">
        <v>74</v>
      </c>
      <c r="AG723">
        <v>35</v>
      </c>
      <c r="AH723">
        <v>15</v>
      </c>
      <c r="AI723">
        <v>19</v>
      </c>
      <c r="AJ723">
        <v>0</v>
      </c>
      <c r="AK723">
        <v>23</v>
      </c>
      <c r="AL723" t="s">
        <v>9660</v>
      </c>
      <c r="AM723" t="s">
        <v>1508</v>
      </c>
      <c r="AN723" t="s">
        <v>9661</v>
      </c>
      <c r="AO723" t="s">
        <v>9662</v>
      </c>
      <c r="AP723" t="s">
        <v>74</v>
      </c>
      <c r="AQ723" t="s">
        <v>74</v>
      </c>
      <c r="AR723" t="s">
        <v>9663</v>
      </c>
      <c r="AS723" t="s">
        <v>9664</v>
      </c>
      <c r="AT723" t="s">
        <v>9645</v>
      </c>
      <c r="AU723">
        <v>2000</v>
      </c>
      <c r="AV723">
        <v>149</v>
      </c>
      <c r="AW723">
        <v>1</v>
      </c>
      <c r="AX723" t="s">
        <v>74</v>
      </c>
      <c r="AY723" t="s">
        <v>74</v>
      </c>
      <c r="AZ723" t="s">
        <v>74</v>
      </c>
      <c r="BA723" t="s">
        <v>74</v>
      </c>
      <c r="BB723">
        <v>153</v>
      </c>
      <c r="BC723">
        <v>176</v>
      </c>
      <c r="BD723" t="s">
        <v>74</v>
      </c>
      <c r="BE723" t="s">
        <v>74</v>
      </c>
      <c r="BF723" t="s">
        <v>74</v>
      </c>
      <c r="BG723" t="s">
        <v>74</v>
      </c>
      <c r="BH723" t="s">
        <v>74</v>
      </c>
      <c r="BI723">
        <v>24</v>
      </c>
      <c r="BJ723" t="s">
        <v>9665</v>
      </c>
      <c r="BK723" t="s">
        <v>94</v>
      </c>
      <c r="BL723" t="s">
        <v>1259</v>
      </c>
      <c r="BM723" t="s">
        <v>9666</v>
      </c>
      <c r="BN723" t="s">
        <v>74</v>
      </c>
      <c r="BO723" t="s">
        <v>74</v>
      </c>
      <c r="BP723" t="s">
        <v>74</v>
      </c>
      <c r="BQ723" t="s">
        <v>74</v>
      </c>
      <c r="BR723" t="s">
        <v>97</v>
      </c>
      <c r="BS723" t="s">
        <v>9667</v>
      </c>
      <c r="BT723" t="str">
        <f>HYPERLINK("https%3A%2F%2Fwww.webofscience.com%2Fwos%2Fwoscc%2Ffull-record%2FWOS:000088591500008","View Full Record in Web of Science")</f>
        <v>View Full Record in Web of Science</v>
      </c>
    </row>
    <row r="724" spans="1:72" x14ac:dyDescent="0.15">
      <c r="A724" t="s">
        <v>72</v>
      </c>
      <c r="B724" t="s">
        <v>9668</v>
      </c>
      <c r="C724" t="s">
        <v>74</v>
      </c>
      <c r="D724" t="s">
        <v>74</v>
      </c>
      <c r="E724" t="s">
        <v>74</v>
      </c>
      <c r="F724" t="s">
        <v>9668</v>
      </c>
      <c r="G724" t="s">
        <v>74</v>
      </c>
      <c r="H724" t="s">
        <v>74</v>
      </c>
      <c r="I724" t="s">
        <v>9669</v>
      </c>
      <c r="J724" t="s">
        <v>6415</v>
      </c>
      <c r="K724" t="s">
        <v>74</v>
      </c>
      <c r="L724" t="s">
        <v>74</v>
      </c>
      <c r="M724" t="s">
        <v>77</v>
      </c>
      <c r="N724" t="s">
        <v>78</v>
      </c>
      <c r="O724" t="s">
        <v>74</v>
      </c>
      <c r="P724" t="s">
        <v>74</v>
      </c>
      <c r="Q724" t="s">
        <v>74</v>
      </c>
      <c r="R724" t="s">
        <v>74</v>
      </c>
      <c r="S724" t="s">
        <v>74</v>
      </c>
      <c r="T724" t="s">
        <v>74</v>
      </c>
      <c r="U724" t="s">
        <v>9670</v>
      </c>
      <c r="V724" t="s">
        <v>9671</v>
      </c>
      <c r="W724" t="s">
        <v>9672</v>
      </c>
      <c r="X724" t="s">
        <v>74</v>
      </c>
      <c r="Y724" t="s">
        <v>9673</v>
      </c>
      <c r="Z724" t="s">
        <v>74</v>
      </c>
      <c r="AA724" t="s">
        <v>74</v>
      </c>
      <c r="AB724" t="s">
        <v>74</v>
      </c>
      <c r="AC724" t="s">
        <v>74</v>
      </c>
      <c r="AD724" t="s">
        <v>74</v>
      </c>
      <c r="AE724" t="s">
        <v>74</v>
      </c>
      <c r="AF724" t="s">
        <v>74</v>
      </c>
      <c r="AG724">
        <v>50</v>
      </c>
      <c r="AH724">
        <v>47</v>
      </c>
      <c r="AI724">
        <v>53</v>
      </c>
      <c r="AJ724">
        <v>0</v>
      </c>
      <c r="AK724">
        <v>16</v>
      </c>
      <c r="AL724" t="s">
        <v>6419</v>
      </c>
      <c r="AM724" t="s">
        <v>982</v>
      </c>
      <c r="AN724" t="s">
        <v>6420</v>
      </c>
      <c r="AO724" t="s">
        <v>6421</v>
      </c>
      <c r="AP724" t="s">
        <v>74</v>
      </c>
      <c r="AQ724" t="s">
        <v>74</v>
      </c>
      <c r="AR724" t="s">
        <v>6422</v>
      </c>
      <c r="AS724" t="s">
        <v>6423</v>
      </c>
      <c r="AT724" t="s">
        <v>9645</v>
      </c>
      <c r="AU724">
        <v>2000</v>
      </c>
      <c r="AV724">
        <v>32</v>
      </c>
      <c r="AW724">
        <v>3</v>
      </c>
      <c r="AX724" t="s">
        <v>74</v>
      </c>
      <c r="AY724" t="s">
        <v>74</v>
      </c>
      <c r="AZ724" t="s">
        <v>74</v>
      </c>
      <c r="BA724" t="s">
        <v>74</v>
      </c>
      <c r="BB724">
        <v>221</v>
      </c>
      <c r="BC724">
        <v>239</v>
      </c>
      <c r="BD724" t="s">
        <v>74</v>
      </c>
      <c r="BE724" t="s">
        <v>9674</v>
      </c>
      <c r="BF724" t="str">
        <f>HYPERLINK("http://dx.doi.org/10.2307/1552521","http://dx.doi.org/10.2307/1552521")</f>
        <v>http://dx.doi.org/10.2307/1552521</v>
      </c>
      <c r="BG724" t="s">
        <v>74</v>
      </c>
      <c r="BH724" t="s">
        <v>74</v>
      </c>
      <c r="BI724">
        <v>19</v>
      </c>
      <c r="BJ724" t="s">
        <v>6425</v>
      </c>
      <c r="BK724" t="s">
        <v>94</v>
      </c>
      <c r="BL724" t="s">
        <v>1942</v>
      </c>
      <c r="BM724" t="s">
        <v>9675</v>
      </c>
      <c r="BN724" t="s">
        <v>74</v>
      </c>
      <c r="BO724" t="s">
        <v>1755</v>
      </c>
      <c r="BP724" t="s">
        <v>74</v>
      </c>
      <c r="BQ724" t="s">
        <v>74</v>
      </c>
      <c r="BR724" t="s">
        <v>97</v>
      </c>
      <c r="BS724" t="s">
        <v>9676</v>
      </c>
      <c r="BT724" t="str">
        <f>HYPERLINK("https%3A%2F%2Fwww.webofscience.com%2Fwos%2Fwoscc%2Ffull-record%2FWOS:000089252500001","View Full Record in Web of Science")</f>
        <v>View Full Record in Web of Science</v>
      </c>
    </row>
    <row r="725" spans="1:72" x14ac:dyDescent="0.15">
      <c r="A725" t="s">
        <v>72</v>
      </c>
      <c r="B725" t="s">
        <v>9677</v>
      </c>
      <c r="C725" t="s">
        <v>74</v>
      </c>
      <c r="D725" t="s">
        <v>74</v>
      </c>
      <c r="E725" t="s">
        <v>74</v>
      </c>
      <c r="F725" t="s">
        <v>9677</v>
      </c>
      <c r="G725" t="s">
        <v>74</v>
      </c>
      <c r="H725" t="s">
        <v>74</v>
      </c>
      <c r="I725" t="s">
        <v>9678</v>
      </c>
      <c r="J725" t="s">
        <v>6415</v>
      </c>
      <c r="K725" t="s">
        <v>74</v>
      </c>
      <c r="L725" t="s">
        <v>74</v>
      </c>
      <c r="M725" t="s">
        <v>77</v>
      </c>
      <c r="N725" t="s">
        <v>236</v>
      </c>
      <c r="O725" t="s">
        <v>74</v>
      </c>
      <c r="P725" t="s">
        <v>74</v>
      </c>
      <c r="Q725" t="s">
        <v>74</v>
      </c>
      <c r="R725" t="s">
        <v>74</v>
      </c>
      <c r="S725" t="s">
        <v>74</v>
      </c>
      <c r="T725" t="s">
        <v>74</v>
      </c>
      <c r="U725" t="s">
        <v>9679</v>
      </c>
      <c r="V725" t="s">
        <v>9680</v>
      </c>
      <c r="W725" t="s">
        <v>9681</v>
      </c>
      <c r="X725" t="s">
        <v>639</v>
      </c>
      <c r="Y725" t="s">
        <v>9682</v>
      </c>
      <c r="Z725" t="s">
        <v>74</v>
      </c>
      <c r="AA725" t="s">
        <v>9683</v>
      </c>
      <c r="AB725" t="s">
        <v>9684</v>
      </c>
      <c r="AC725" t="s">
        <v>74</v>
      </c>
      <c r="AD725" t="s">
        <v>74</v>
      </c>
      <c r="AE725" t="s">
        <v>74</v>
      </c>
      <c r="AF725" t="s">
        <v>74</v>
      </c>
      <c r="AG725">
        <v>104</v>
      </c>
      <c r="AH725">
        <v>53</v>
      </c>
      <c r="AI725">
        <v>57</v>
      </c>
      <c r="AJ725">
        <v>0</v>
      </c>
      <c r="AK725">
        <v>51</v>
      </c>
      <c r="AL725" t="s">
        <v>6419</v>
      </c>
      <c r="AM725" t="s">
        <v>982</v>
      </c>
      <c r="AN725" t="s">
        <v>6420</v>
      </c>
      <c r="AO725" t="s">
        <v>6421</v>
      </c>
      <c r="AP725" t="s">
        <v>74</v>
      </c>
      <c r="AQ725" t="s">
        <v>74</v>
      </c>
      <c r="AR725" t="s">
        <v>6422</v>
      </c>
      <c r="AS725" t="s">
        <v>6423</v>
      </c>
      <c r="AT725" t="s">
        <v>9645</v>
      </c>
      <c r="AU725">
        <v>2000</v>
      </c>
      <c r="AV725">
        <v>32</v>
      </c>
      <c r="AW725">
        <v>3</v>
      </c>
      <c r="AX725" t="s">
        <v>74</v>
      </c>
      <c r="AY725" t="s">
        <v>74</v>
      </c>
      <c r="AZ725" t="s">
        <v>74</v>
      </c>
      <c r="BA725" t="s">
        <v>74</v>
      </c>
      <c r="BB725">
        <v>240</v>
      </c>
      <c r="BC725">
        <v>254</v>
      </c>
      <c r="BD725" t="s">
        <v>74</v>
      </c>
      <c r="BE725" t="s">
        <v>9685</v>
      </c>
      <c r="BF725" t="str">
        <f>HYPERLINK("http://dx.doi.org/10.2307/1552522","http://dx.doi.org/10.2307/1552522")</f>
        <v>http://dx.doi.org/10.2307/1552522</v>
      </c>
      <c r="BG725" t="s">
        <v>74</v>
      </c>
      <c r="BH725" t="s">
        <v>74</v>
      </c>
      <c r="BI725">
        <v>15</v>
      </c>
      <c r="BJ725" t="s">
        <v>6425</v>
      </c>
      <c r="BK725" t="s">
        <v>94</v>
      </c>
      <c r="BL725" t="s">
        <v>1942</v>
      </c>
      <c r="BM725" t="s">
        <v>9675</v>
      </c>
      <c r="BN725" t="s">
        <v>74</v>
      </c>
      <c r="BO725" t="s">
        <v>1755</v>
      </c>
      <c r="BP725" t="s">
        <v>74</v>
      </c>
      <c r="BQ725" t="s">
        <v>74</v>
      </c>
      <c r="BR725" t="s">
        <v>97</v>
      </c>
      <c r="BS725" t="s">
        <v>9686</v>
      </c>
      <c r="BT725" t="str">
        <f>HYPERLINK("https%3A%2F%2Fwww.webofscience.com%2Fwos%2Fwoscc%2Ffull-record%2FWOS:000089252500002","View Full Record in Web of Science")</f>
        <v>View Full Record in Web of Science</v>
      </c>
    </row>
    <row r="726" spans="1:72" x14ac:dyDescent="0.15">
      <c r="A726" t="s">
        <v>72</v>
      </c>
      <c r="B726" t="s">
        <v>9687</v>
      </c>
      <c r="C726" t="s">
        <v>74</v>
      </c>
      <c r="D726" t="s">
        <v>74</v>
      </c>
      <c r="E726" t="s">
        <v>74</v>
      </c>
      <c r="F726" t="s">
        <v>9687</v>
      </c>
      <c r="G726" t="s">
        <v>74</v>
      </c>
      <c r="H726" t="s">
        <v>74</v>
      </c>
      <c r="I726" t="s">
        <v>9688</v>
      </c>
      <c r="J726" t="s">
        <v>6415</v>
      </c>
      <c r="K726" t="s">
        <v>74</v>
      </c>
      <c r="L726" t="s">
        <v>74</v>
      </c>
      <c r="M726" t="s">
        <v>77</v>
      </c>
      <c r="N726" t="s">
        <v>78</v>
      </c>
      <c r="O726" t="s">
        <v>74</v>
      </c>
      <c r="P726" t="s">
        <v>74</v>
      </c>
      <c r="Q726" t="s">
        <v>74</v>
      </c>
      <c r="R726" t="s">
        <v>74</v>
      </c>
      <c r="S726" t="s">
        <v>74</v>
      </c>
      <c r="T726" t="s">
        <v>74</v>
      </c>
      <c r="U726" t="s">
        <v>9689</v>
      </c>
      <c r="V726" t="s">
        <v>9690</v>
      </c>
      <c r="W726" t="s">
        <v>9691</v>
      </c>
      <c r="X726" t="s">
        <v>9692</v>
      </c>
      <c r="Y726" t="s">
        <v>9693</v>
      </c>
      <c r="Z726" t="s">
        <v>74</v>
      </c>
      <c r="AA726" t="s">
        <v>9694</v>
      </c>
      <c r="AB726" t="s">
        <v>9695</v>
      </c>
      <c r="AC726" t="s">
        <v>74</v>
      </c>
      <c r="AD726" t="s">
        <v>74</v>
      </c>
      <c r="AE726" t="s">
        <v>74</v>
      </c>
      <c r="AF726" t="s">
        <v>74</v>
      </c>
      <c r="AG726">
        <v>41</v>
      </c>
      <c r="AH726">
        <v>14</v>
      </c>
      <c r="AI726">
        <v>15</v>
      </c>
      <c r="AJ726">
        <v>1</v>
      </c>
      <c r="AK726">
        <v>9</v>
      </c>
      <c r="AL726" t="s">
        <v>6419</v>
      </c>
      <c r="AM726" t="s">
        <v>982</v>
      </c>
      <c r="AN726" t="s">
        <v>6420</v>
      </c>
      <c r="AO726" t="s">
        <v>6421</v>
      </c>
      <c r="AP726" t="s">
        <v>74</v>
      </c>
      <c r="AQ726" t="s">
        <v>74</v>
      </c>
      <c r="AR726" t="s">
        <v>6422</v>
      </c>
      <c r="AS726" t="s">
        <v>6423</v>
      </c>
      <c r="AT726" t="s">
        <v>9645</v>
      </c>
      <c r="AU726">
        <v>2000</v>
      </c>
      <c r="AV726">
        <v>32</v>
      </c>
      <c r="AW726">
        <v>3</v>
      </c>
      <c r="AX726" t="s">
        <v>74</v>
      </c>
      <c r="AY726" t="s">
        <v>74</v>
      </c>
      <c r="AZ726" t="s">
        <v>74</v>
      </c>
      <c r="BA726" t="s">
        <v>74</v>
      </c>
      <c r="BB726">
        <v>255</v>
      </c>
      <c r="BC726">
        <v>261</v>
      </c>
      <c r="BD726" t="s">
        <v>74</v>
      </c>
      <c r="BE726" t="s">
        <v>9696</v>
      </c>
      <c r="BF726" t="str">
        <f>HYPERLINK("http://dx.doi.org/10.2307/1552523","http://dx.doi.org/10.2307/1552523")</f>
        <v>http://dx.doi.org/10.2307/1552523</v>
      </c>
      <c r="BG726" t="s">
        <v>74</v>
      </c>
      <c r="BH726" t="s">
        <v>74</v>
      </c>
      <c r="BI726">
        <v>7</v>
      </c>
      <c r="BJ726" t="s">
        <v>6425</v>
      </c>
      <c r="BK726" t="s">
        <v>94</v>
      </c>
      <c r="BL726" t="s">
        <v>1942</v>
      </c>
      <c r="BM726" t="s">
        <v>9675</v>
      </c>
      <c r="BN726" t="s">
        <v>74</v>
      </c>
      <c r="BO726" t="s">
        <v>1755</v>
      </c>
      <c r="BP726" t="s">
        <v>74</v>
      </c>
      <c r="BQ726" t="s">
        <v>74</v>
      </c>
      <c r="BR726" t="s">
        <v>97</v>
      </c>
      <c r="BS726" t="s">
        <v>9697</v>
      </c>
      <c r="BT726" t="str">
        <f>HYPERLINK("https%3A%2F%2Fwww.webofscience.com%2Fwos%2Fwoscc%2Ffull-record%2FWOS:000089252500003","View Full Record in Web of Science")</f>
        <v>View Full Record in Web of Science</v>
      </c>
    </row>
    <row r="727" spans="1:72" x14ac:dyDescent="0.15">
      <c r="A727" t="s">
        <v>72</v>
      </c>
      <c r="B727" t="s">
        <v>6589</v>
      </c>
      <c r="C727" t="s">
        <v>74</v>
      </c>
      <c r="D727" t="s">
        <v>74</v>
      </c>
      <c r="E727" t="s">
        <v>74</v>
      </c>
      <c r="F727" t="s">
        <v>6589</v>
      </c>
      <c r="G727" t="s">
        <v>74</v>
      </c>
      <c r="H727" t="s">
        <v>74</v>
      </c>
      <c r="I727" t="s">
        <v>9698</v>
      </c>
      <c r="J727" t="s">
        <v>6415</v>
      </c>
      <c r="K727" t="s">
        <v>74</v>
      </c>
      <c r="L727" t="s">
        <v>74</v>
      </c>
      <c r="M727" t="s">
        <v>77</v>
      </c>
      <c r="N727" t="s">
        <v>78</v>
      </c>
      <c r="O727" t="s">
        <v>74</v>
      </c>
      <c r="P727" t="s">
        <v>74</v>
      </c>
      <c r="Q727" t="s">
        <v>74</v>
      </c>
      <c r="R727" t="s">
        <v>74</v>
      </c>
      <c r="S727" t="s">
        <v>74</v>
      </c>
      <c r="T727" t="s">
        <v>74</v>
      </c>
      <c r="U727" t="s">
        <v>9699</v>
      </c>
      <c r="V727" t="s">
        <v>9700</v>
      </c>
      <c r="W727" t="s">
        <v>9701</v>
      </c>
      <c r="X727" t="s">
        <v>9702</v>
      </c>
      <c r="Y727" t="s">
        <v>9703</v>
      </c>
      <c r="Z727" t="s">
        <v>74</v>
      </c>
      <c r="AA727" t="s">
        <v>9704</v>
      </c>
      <c r="AB727" t="s">
        <v>9705</v>
      </c>
      <c r="AC727" t="s">
        <v>74</v>
      </c>
      <c r="AD727" t="s">
        <v>74</v>
      </c>
      <c r="AE727" t="s">
        <v>74</v>
      </c>
      <c r="AF727" t="s">
        <v>74</v>
      </c>
      <c r="AG727">
        <v>21</v>
      </c>
      <c r="AH727">
        <v>12</v>
      </c>
      <c r="AI727">
        <v>13</v>
      </c>
      <c r="AJ727">
        <v>1</v>
      </c>
      <c r="AK727">
        <v>21</v>
      </c>
      <c r="AL727" t="s">
        <v>6419</v>
      </c>
      <c r="AM727" t="s">
        <v>982</v>
      </c>
      <c r="AN727" t="s">
        <v>6420</v>
      </c>
      <c r="AO727" t="s">
        <v>6421</v>
      </c>
      <c r="AP727" t="s">
        <v>74</v>
      </c>
      <c r="AQ727" t="s">
        <v>74</v>
      </c>
      <c r="AR727" t="s">
        <v>6422</v>
      </c>
      <c r="AS727" t="s">
        <v>6423</v>
      </c>
      <c r="AT727" t="s">
        <v>9645</v>
      </c>
      <c r="AU727">
        <v>2000</v>
      </c>
      <c r="AV727">
        <v>32</v>
      </c>
      <c r="AW727">
        <v>3</v>
      </c>
      <c r="AX727" t="s">
        <v>74</v>
      </c>
      <c r="AY727" t="s">
        <v>74</v>
      </c>
      <c r="AZ727" t="s">
        <v>74</v>
      </c>
      <c r="BA727" t="s">
        <v>74</v>
      </c>
      <c r="BB727">
        <v>262</v>
      </c>
      <c r="BC727">
        <v>269</v>
      </c>
      <c r="BD727" t="s">
        <v>74</v>
      </c>
      <c r="BE727" t="s">
        <v>9706</v>
      </c>
      <c r="BF727" t="str">
        <f>HYPERLINK("http://dx.doi.org/10.2307/1552524","http://dx.doi.org/10.2307/1552524")</f>
        <v>http://dx.doi.org/10.2307/1552524</v>
      </c>
      <c r="BG727" t="s">
        <v>74</v>
      </c>
      <c r="BH727" t="s">
        <v>74</v>
      </c>
      <c r="BI727">
        <v>8</v>
      </c>
      <c r="BJ727" t="s">
        <v>6425</v>
      </c>
      <c r="BK727" t="s">
        <v>94</v>
      </c>
      <c r="BL727" t="s">
        <v>1942</v>
      </c>
      <c r="BM727" t="s">
        <v>9675</v>
      </c>
      <c r="BN727" t="s">
        <v>74</v>
      </c>
      <c r="BO727" t="s">
        <v>1755</v>
      </c>
      <c r="BP727" t="s">
        <v>74</v>
      </c>
      <c r="BQ727" t="s">
        <v>74</v>
      </c>
      <c r="BR727" t="s">
        <v>97</v>
      </c>
      <c r="BS727" t="s">
        <v>9707</v>
      </c>
      <c r="BT727" t="str">
        <f>HYPERLINK("https%3A%2F%2Fwww.webofscience.com%2Fwos%2Fwoscc%2Ffull-record%2FWOS:000089252500004","View Full Record in Web of Science")</f>
        <v>View Full Record in Web of Science</v>
      </c>
    </row>
    <row r="728" spans="1:72" x14ac:dyDescent="0.15">
      <c r="A728" t="s">
        <v>72</v>
      </c>
      <c r="B728" t="s">
        <v>9708</v>
      </c>
      <c r="C728" t="s">
        <v>74</v>
      </c>
      <c r="D728" t="s">
        <v>74</v>
      </c>
      <c r="E728" t="s">
        <v>74</v>
      </c>
      <c r="F728" t="s">
        <v>9708</v>
      </c>
      <c r="G728" t="s">
        <v>74</v>
      </c>
      <c r="H728" t="s">
        <v>74</v>
      </c>
      <c r="I728" t="s">
        <v>9709</v>
      </c>
      <c r="J728" t="s">
        <v>6415</v>
      </c>
      <c r="K728" t="s">
        <v>74</v>
      </c>
      <c r="L728" t="s">
        <v>74</v>
      </c>
      <c r="M728" t="s">
        <v>77</v>
      </c>
      <c r="N728" t="s">
        <v>78</v>
      </c>
      <c r="O728" t="s">
        <v>74</v>
      </c>
      <c r="P728" t="s">
        <v>74</v>
      </c>
      <c r="Q728" t="s">
        <v>74</v>
      </c>
      <c r="R728" t="s">
        <v>74</v>
      </c>
      <c r="S728" t="s">
        <v>74</v>
      </c>
      <c r="T728" t="s">
        <v>74</v>
      </c>
      <c r="U728" t="s">
        <v>9710</v>
      </c>
      <c r="V728" t="s">
        <v>9711</v>
      </c>
      <c r="W728" t="s">
        <v>9712</v>
      </c>
      <c r="X728" t="s">
        <v>9713</v>
      </c>
      <c r="Y728" t="s">
        <v>9714</v>
      </c>
      <c r="Z728" t="s">
        <v>9715</v>
      </c>
      <c r="AA728" t="s">
        <v>74</v>
      </c>
      <c r="AB728" t="s">
        <v>74</v>
      </c>
      <c r="AC728" t="s">
        <v>74</v>
      </c>
      <c r="AD728" t="s">
        <v>74</v>
      </c>
      <c r="AE728" t="s">
        <v>74</v>
      </c>
      <c r="AF728" t="s">
        <v>74</v>
      </c>
      <c r="AG728">
        <v>56</v>
      </c>
      <c r="AH728">
        <v>67</v>
      </c>
      <c r="AI728">
        <v>69</v>
      </c>
      <c r="AJ728">
        <v>0</v>
      </c>
      <c r="AK728">
        <v>27</v>
      </c>
      <c r="AL728" t="s">
        <v>6419</v>
      </c>
      <c r="AM728" t="s">
        <v>982</v>
      </c>
      <c r="AN728" t="s">
        <v>6420</v>
      </c>
      <c r="AO728" t="s">
        <v>6421</v>
      </c>
      <c r="AP728" t="s">
        <v>74</v>
      </c>
      <c r="AQ728" t="s">
        <v>74</v>
      </c>
      <c r="AR728" t="s">
        <v>6422</v>
      </c>
      <c r="AS728" t="s">
        <v>6423</v>
      </c>
      <c r="AT728" t="s">
        <v>9645</v>
      </c>
      <c r="AU728">
        <v>2000</v>
      </c>
      <c r="AV728">
        <v>32</v>
      </c>
      <c r="AW728">
        <v>3</v>
      </c>
      <c r="AX728" t="s">
        <v>74</v>
      </c>
      <c r="AY728" t="s">
        <v>74</v>
      </c>
      <c r="AZ728" t="s">
        <v>74</v>
      </c>
      <c r="BA728" t="s">
        <v>74</v>
      </c>
      <c r="BB728">
        <v>270</v>
      </c>
      <c r="BC728">
        <v>277</v>
      </c>
      <c r="BD728" t="s">
        <v>74</v>
      </c>
      <c r="BE728" t="s">
        <v>9716</v>
      </c>
      <c r="BF728" t="str">
        <f>HYPERLINK("http://dx.doi.org/10.2307/1552525","http://dx.doi.org/10.2307/1552525")</f>
        <v>http://dx.doi.org/10.2307/1552525</v>
      </c>
      <c r="BG728" t="s">
        <v>74</v>
      </c>
      <c r="BH728" t="s">
        <v>74</v>
      </c>
      <c r="BI728">
        <v>8</v>
      </c>
      <c r="BJ728" t="s">
        <v>6425</v>
      </c>
      <c r="BK728" t="s">
        <v>94</v>
      </c>
      <c r="BL728" t="s">
        <v>1942</v>
      </c>
      <c r="BM728" t="s">
        <v>9675</v>
      </c>
      <c r="BN728" t="s">
        <v>74</v>
      </c>
      <c r="BO728" t="s">
        <v>74</v>
      </c>
      <c r="BP728" t="s">
        <v>74</v>
      </c>
      <c r="BQ728" t="s">
        <v>74</v>
      </c>
      <c r="BR728" t="s">
        <v>97</v>
      </c>
      <c r="BS728" t="s">
        <v>9717</v>
      </c>
      <c r="BT728" t="str">
        <f>HYPERLINK("https%3A%2F%2Fwww.webofscience.com%2Fwos%2Fwoscc%2Ffull-record%2FWOS:000089252500005","View Full Record in Web of Science")</f>
        <v>View Full Record in Web of Science</v>
      </c>
    </row>
    <row r="729" spans="1:72" x14ac:dyDescent="0.15">
      <c r="A729" t="s">
        <v>72</v>
      </c>
      <c r="B729" t="s">
        <v>9718</v>
      </c>
      <c r="C729" t="s">
        <v>74</v>
      </c>
      <c r="D729" t="s">
        <v>74</v>
      </c>
      <c r="E729" t="s">
        <v>74</v>
      </c>
      <c r="F729" t="s">
        <v>9718</v>
      </c>
      <c r="G729" t="s">
        <v>74</v>
      </c>
      <c r="H729" t="s">
        <v>74</v>
      </c>
      <c r="I729" t="s">
        <v>9719</v>
      </c>
      <c r="J729" t="s">
        <v>6415</v>
      </c>
      <c r="K729" t="s">
        <v>74</v>
      </c>
      <c r="L729" t="s">
        <v>74</v>
      </c>
      <c r="M729" t="s">
        <v>77</v>
      </c>
      <c r="N729" t="s">
        <v>78</v>
      </c>
      <c r="O729" t="s">
        <v>74</v>
      </c>
      <c r="P729" t="s">
        <v>74</v>
      </c>
      <c r="Q729" t="s">
        <v>74</v>
      </c>
      <c r="R729" t="s">
        <v>74</v>
      </c>
      <c r="S729" t="s">
        <v>74</v>
      </c>
      <c r="T729" t="s">
        <v>74</v>
      </c>
      <c r="U729" t="s">
        <v>9720</v>
      </c>
      <c r="V729" t="s">
        <v>9721</v>
      </c>
      <c r="W729" t="s">
        <v>9722</v>
      </c>
      <c r="X729" t="s">
        <v>9723</v>
      </c>
      <c r="Y729" t="s">
        <v>9724</v>
      </c>
      <c r="Z729" t="s">
        <v>9725</v>
      </c>
      <c r="AA729" t="s">
        <v>74</v>
      </c>
      <c r="AB729" t="s">
        <v>74</v>
      </c>
      <c r="AC729" t="s">
        <v>74</v>
      </c>
      <c r="AD729" t="s">
        <v>74</v>
      </c>
      <c r="AE729" t="s">
        <v>74</v>
      </c>
      <c r="AF729" t="s">
        <v>74</v>
      </c>
      <c r="AG729">
        <v>38</v>
      </c>
      <c r="AH729">
        <v>14</v>
      </c>
      <c r="AI729">
        <v>17</v>
      </c>
      <c r="AJ729">
        <v>0</v>
      </c>
      <c r="AK729">
        <v>11</v>
      </c>
      <c r="AL729" t="s">
        <v>1039</v>
      </c>
      <c r="AM729" t="s">
        <v>1040</v>
      </c>
      <c r="AN729" t="s">
        <v>1041</v>
      </c>
      <c r="AO729" t="s">
        <v>6421</v>
      </c>
      <c r="AP729" t="s">
        <v>6449</v>
      </c>
      <c r="AQ729" t="s">
        <v>74</v>
      </c>
      <c r="AR729" t="s">
        <v>6422</v>
      </c>
      <c r="AS729" t="s">
        <v>6423</v>
      </c>
      <c r="AT729" t="s">
        <v>9645</v>
      </c>
      <c r="AU729">
        <v>2000</v>
      </c>
      <c r="AV729">
        <v>32</v>
      </c>
      <c r="AW729">
        <v>3</v>
      </c>
      <c r="AX729" t="s">
        <v>74</v>
      </c>
      <c r="AY729" t="s">
        <v>74</v>
      </c>
      <c r="AZ729" t="s">
        <v>74</v>
      </c>
      <c r="BA729" t="s">
        <v>74</v>
      </c>
      <c r="BB729">
        <v>278</v>
      </c>
      <c r="BC729">
        <v>285</v>
      </c>
      <c r="BD729" t="s">
        <v>74</v>
      </c>
      <c r="BE729" t="s">
        <v>9726</v>
      </c>
      <c r="BF729" t="str">
        <f>HYPERLINK("http://dx.doi.org/10.2307/1552526","http://dx.doi.org/10.2307/1552526")</f>
        <v>http://dx.doi.org/10.2307/1552526</v>
      </c>
      <c r="BG729" t="s">
        <v>74</v>
      </c>
      <c r="BH729" t="s">
        <v>74</v>
      </c>
      <c r="BI729">
        <v>8</v>
      </c>
      <c r="BJ729" t="s">
        <v>6425</v>
      </c>
      <c r="BK729" t="s">
        <v>94</v>
      </c>
      <c r="BL729" t="s">
        <v>1942</v>
      </c>
      <c r="BM729" t="s">
        <v>9675</v>
      </c>
      <c r="BN729" t="s">
        <v>74</v>
      </c>
      <c r="BO729" t="s">
        <v>74</v>
      </c>
      <c r="BP729" t="s">
        <v>74</v>
      </c>
      <c r="BQ729" t="s">
        <v>74</v>
      </c>
      <c r="BR729" t="s">
        <v>97</v>
      </c>
      <c r="BS729" t="s">
        <v>9727</v>
      </c>
      <c r="BT729" t="str">
        <f>HYPERLINK("https%3A%2F%2Fwww.webofscience.com%2Fwos%2Fwoscc%2Ffull-record%2FWOS:000089252500006","View Full Record in Web of Science")</f>
        <v>View Full Record in Web of Science</v>
      </c>
    </row>
    <row r="730" spans="1:72" x14ac:dyDescent="0.15">
      <c r="A730" t="s">
        <v>72</v>
      </c>
      <c r="B730" t="s">
        <v>9728</v>
      </c>
      <c r="C730" t="s">
        <v>74</v>
      </c>
      <c r="D730" t="s">
        <v>74</v>
      </c>
      <c r="E730" t="s">
        <v>74</v>
      </c>
      <c r="F730" t="s">
        <v>9728</v>
      </c>
      <c r="G730" t="s">
        <v>74</v>
      </c>
      <c r="H730" t="s">
        <v>74</v>
      </c>
      <c r="I730" t="s">
        <v>9729</v>
      </c>
      <c r="J730" t="s">
        <v>6415</v>
      </c>
      <c r="K730" t="s">
        <v>74</v>
      </c>
      <c r="L730" t="s">
        <v>74</v>
      </c>
      <c r="M730" t="s">
        <v>77</v>
      </c>
      <c r="N730" t="s">
        <v>78</v>
      </c>
      <c r="O730" t="s">
        <v>74</v>
      </c>
      <c r="P730" t="s">
        <v>74</v>
      </c>
      <c r="Q730" t="s">
        <v>74</v>
      </c>
      <c r="R730" t="s">
        <v>74</v>
      </c>
      <c r="S730" t="s">
        <v>74</v>
      </c>
      <c r="T730" t="s">
        <v>74</v>
      </c>
      <c r="U730" t="s">
        <v>9730</v>
      </c>
      <c r="V730" t="s">
        <v>9731</v>
      </c>
      <c r="W730" t="s">
        <v>9732</v>
      </c>
      <c r="X730" t="s">
        <v>9733</v>
      </c>
      <c r="Y730" t="s">
        <v>9734</v>
      </c>
      <c r="Z730" t="s">
        <v>74</v>
      </c>
      <c r="AA730" t="s">
        <v>74</v>
      </c>
      <c r="AB730" t="s">
        <v>74</v>
      </c>
      <c r="AC730" t="s">
        <v>74</v>
      </c>
      <c r="AD730" t="s">
        <v>74</v>
      </c>
      <c r="AE730" t="s">
        <v>74</v>
      </c>
      <c r="AF730" t="s">
        <v>74</v>
      </c>
      <c r="AG730">
        <v>43</v>
      </c>
      <c r="AH730">
        <v>6</v>
      </c>
      <c r="AI730">
        <v>7</v>
      </c>
      <c r="AJ730">
        <v>0</v>
      </c>
      <c r="AK730">
        <v>8</v>
      </c>
      <c r="AL730" t="s">
        <v>6419</v>
      </c>
      <c r="AM730" t="s">
        <v>982</v>
      </c>
      <c r="AN730" t="s">
        <v>6420</v>
      </c>
      <c r="AO730" t="s">
        <v>6421</v>
      </c>
      <c r="AP730" t="s">
        <v>74</v>
      </c>
      <c r="AQ730" t="s">
        <v>74</v>
      </c>
      <c r="AR730" t="s">
        <v>6422</v>
      </c>
      <c r="AS730" t="s">
        <v>6423</v>
      </c>
      <c r="AT730" t="s">
        <v>9645</v>
      </c>
      <c r="AU730">
        <v>2000</v>
      </c>
      <c r="AV730">
        <v>32</v>
      </c>
      <c r="AW730">
        <v>3</v>
      </c>
      <c r="AX730" t="s">
        <v>74</v>
      </c>
      <c r="AY730" t="s">
        <v>74</v>
      </c>
      <c r="AZ730" t="s">
        <v>74</v>
      </c>
      <c r="BA730" t="s">
        <v>74</v>
      </c>
      <c r="BB730">
        <v>286</v>
      </c>
      <c r="BC730">
        <v>294</v>
      </c>
      <c r="BD730" t="s">
        <v>74</v>
      </c>
      <c r="BE730" t="s">
        <v>9735</v>
      </c>
      <c r="BF730" t="str">
        <f>HYPERLINK("http://dx.doi.org/10.2307/1552527","http://dx.doi.org/10.2307/1552527")</f>
        <v>http://dx.doi.org/10.2307/1552527</v>
      </c>
      <c r="BG730" t="s">
        <v>74</v>
      </c>
      <c r="BH730" t="s">
        <v>74</v>
      </c>
      <c r="BI730">
        <v>9</v>
      </c>
      <c r="BJ730" t="s">
        <v>6425</v>
      </c>
      <c r="BK730" t="s">
        <v>94</v>
      </c>
      <c r="BL730" t="s">
        <v>1942</v>
      </c>
      <c r="BM730" t="s">
        <v>9675</v>
      </c>
      <c r="BN730" t="s">
        <v>74</v>
      </c>
      <c r="BO730" t="s">
        <v>74</v>
      </c>
      <c r="BP730" t="s">
        <v>74</v>
      </c>
      <c r="BQ730" t="s">
        <v>74</v>
      </c>
      <c r="BR730" t="s">
        <v>97</v>
      </c>
      <c r="BS730" t="s">
        <v>9736</v>
      </c>
      <c r="BT730" t="str">
        <f>HYPERLINK("https%3A%2F%2Fwww.webofscience.com%2Fwos%2Fwoscc%2Ffull-record%2FWOS:000089252500007","View Full Record in Web of Science")</f>
        <v>View Full Record in Web of Science</v>
      </c>
    </row>
    <row r="731" spans="1:72" x14ac:dyDescent="0.15">
      <c r="A731" t="s">
        <v>72</v>
      </c>
      <c r="B731" t="s">
        <v>9737</v>
      </c>
      <c r="C731" t="s">
        <v>74</v>
      </c>
      <c r="D731" t="s">
        <v>74</v>
      </c>
      <c r="E731" t="s">
        <v>74</v>
      </c>
      <c r="F731" t="s">
        <v>9737</v>
      </c>
      <c r="G731" t="s">
        <v>74</v>
      </c>
      <c r="H731" t="s">
        <v>74</v>
      </c>
      <c r="I731" t="s">
        <v>9738</v>
      </c>
      <c r="J731" t="s">
        <v>6415</v>
      </c>
      <c r="K731" t="s">
        <v>74</v>
      </c>
      <c r="L731" t="s">
        <v>74</v>
      </c>
      <c r="M731" t="s">
        <v>77</v>
      </c>
      <c r="N731" t="s">
        <v>78</v>
      </c>
      <c r="O731" t="s">
        <v>74</v>
      </c>
      <c r="P731" t="s">
        <v>74</v>
      </c>
      <c r="Q731" t="s">
        <v>74</v>
      </c>
      <c r="R731" t="s">
        <v>74</v>
      </c>
      <c r="S731" t="s">
        <v>74</v>
      </c>
      <c r="T731" t="s">
        <v>74</v>
      </c>
      <c r="U731" t="s">
        <v>9739</v>
      </c>
      <c r="V731" t="s">
        <v>9740</v>
      </c>
      <c r="W731" t="s">
        <v>9741</v>
      </c>
      <c r="X731" t="s">
        <v>9742</v>
      </c>
      <c r="Y731" t="s">
        <v>9743</v>
      </c>
      <c r="Z731" t="s">
        <v>9744</v>
      </c>
      <c r="AA731" t="s">
        <v>74</v>
      </c>
      <c r="AB731" t="s">
        <v>74</v>
      </c>
      <c r="AC731" t="s">
        <v>74</v>
      </c>
      <c r="AD731" t="s">
        <v>74</v>
      </c>
      <c r="AE731" t="s">
        <v>74</v>
      </c>
      <c r="AF731" t="s">
        <v>74</v>
      </c>
      <c r="AG731">
        <v>48</v>
      </c>
      <c r="AH731">
        <v>43</v>
      </c>
      <c r="AI731">
        <v>52</v>
      </c>
      <c r="AJ731">
        <v>0</v>
      </c>
      <c r="AK731">
        <v>15</v>
      </c>
      <c r="AL731" t="s">
        <v>1039</v>
      </c>
      <c r="AM731" t="s">
        <v>1040</v>
      </c>
      <c r="AN731" t="s">
        <v>1041</v>
      </c>
      <c r="AO731" t="s">
        <v>6421</v>
      </c>
      <c r="AP731" t="s">
        <v>6449</v>
      </c>
      <c r="AQ731" t="s">
        <v>74</v>
      </c>
      <c r="AR731" t="s">
        <v>6422</v>
      </c>
      <c r="AS731" t="s">
        <v>6423</v>
      </c>
      <c r="AT731" t="s">
        <v>9645</v>
      </c>
      <c r="AU731">
        <v>2000</v>
      </c>
      <c r="AV731">
        <v>32</v>
      </c>
      <c r="AW731">
        <v>3</v>
      </c>
      <c r="AX731" t="s">
        <v>74</v>
      </c>
      <c r="AY731" t="s">
        <v>74</v>
      </c>
      <c r="AZ731" t="s">
        <v>74</v>
      </c>
      <c r="BA731" t="s">
        <v>74</v>
      </c>
      <c r="BB731">
        <v>295</v>
      </c>
      <c r="BC731">
        <v>302</v>
      </c>
      <c r="BD731" t="s">
        <v>74</v>
      </c>
      <c r="BE731" t="s">
        <v>9745</v>
      </c>
      <c r="BF731" t="str">
        <f>HYPERLINK("http://dx.doi.org/10.2307/1552528","http://dx.doi.org/10.2307/1552528")</f>
        <v>http://dx.doi.org/10.2307/1552528</v>
      </c>
      <c r="BG731" t="s">
        <v>74</v>
      </c>
      <c r="BH731" t="s">
        <v>74</v>
      </c>
      <c r="BI731">
        <v>8</v>
      </c>
      <c r="BJ731" t="s">
        <v>6425</v>
      </c>
      <c r="BK731" t="s">
        <v>94</v>
      </c>
      <c r="BL731" t="s">
        <v>1942</v>
      </c>
      <c r="BM731" t="s">
        <v>9675</v>
      </c>
      <c r="BN731" t="s">
        <v>74</v>
      </c>
      <c r="BO731" t="s">
        <v>1755</v>
      </c>
      <c r="BP731" t="s">
        <v>74</v>
      </c>
      <c r="BQ731" t="s">
        <v>74</v>
      </c>
      <c r="BR731" t="s">
        <v>97</v>
      </c>
      <c r="BS731" t="s">
        <v>9746</v>
      </c>
      <c r="BT731" t="str">
        <f>HYPERLINK("https%3A%2F%2Fwww.webofscience.com%2Fwos%2Fwoscc%2Ffull-record%2FWOS:000089252500008","View Full Record in Web of Science")</f>
        <v>View Full Record in Web of Science</v>
      </c>
    </row>
    <row r="732" spans="1:72" x14ac:dyDescent="0.15">
      <c r="A732" t="s">
        <v>72</v>
      </c>
      <c r="B732" t="s">
        <v>9747</v>
      </c>
      <c r="C732" t="s">
        <v>74</v>
      </c>
      <c r="D732" t="s">
        <v>74</v>
      </c>
      <c r="E732" t="s">
        <v>74</v>
      </c>
      <c r="F732" t="s">
        <v>9747</v>
      </c>
      <c r="G732" t="s">
        <v>74</v>
      </c>
      <c r="H732" t="s">
        <v>74</v>
      </c>
      <c r="I732" t="s">
        <v>9748</v>
      </c>
      <c r="J732" t="s">
        <v>6415</v>
      </c>
      <c r="K732" t="s">
        <v>74</v>
      </c>
      <c r="L732" t="s">
        <v>74</v>
      </c>
      <c r="M732" t="s">
        <v>77</v>
      </c>
      <c r="N732" t="s">
        <v>78</v>
      </c>
      <c r="O732" t="s">
        <v>74</v>
      </c>
      <c r="P732" t="s">
        <v>74</v>
      </c>
      <c r="Q732" t="s">
        <v>74</v>
      </c>
      <c r="R732" t="s">
        <v>74</v>
      </c>
      <c r="S732" t="s">
        <v>74</v>
      </c>
      <c r="T732" t="s">
        <v>74</v>
      </c>
      <c r="U732" t="s">
        <v>9749</v>
      </c>
      <c r="V732" t="s">
        <v>9750</v>
      </c>
      <c r="W732" t="s">
        <v>9751</v>
      </c>
      <c r="X732" t="s">
        <v>9752</v>
      </c>
      <c r="Y732" t="s">
        <v>9753</v>
      </c>
      <c r="Z732" t="s">
        <v>9754</v>
      </c>
      <c r="AA732" t="s">
        <v>74</v>
      </c>
      <c r="AB732" t="s">
        <v>74</v>
      </c>
      <c r="AC732" t="s">
        <v>74</v>
      </c>
      <c r="AD732" t="s">
        <v>74</v>
      </c>
      <c r="AE732" t="s">
        <v>74</v>
      </c>
      <c r="AF732" t="s">
        <v>74</v>
      </c>
      <c r="AG732">
        <v>50</v>
      </c>
      <c r="AH732">
        <v>179</v>
      </c>
      <c r="AI732">
        <v>228</v>
      </c>
      <c r="AJ732">
        <v>3</v>
      </c>
      <c r="AK732">
        <v>90</v>
      </c>
      <c r="AL732" t="s">
        <v>1039</v>
      </c>
      <c r="AM732" t="s">
        <v>1040</v>
      </c>
      <c r="AN732" t="s">
        <v>1041</v>
      </c>
      <c r="AO732" t="s">
        <v>6421</v>
      </c>
      <c r="AP732" t="s">
        <v>6449</v>
      </c>
      <c r="AQ732" t="s">
        <v>74</v>
      </c>
      <c r="AR732" t="s">
        <v>6422</v>
      </c>
      <c r="AS732" t="s">
        <v>6423</v>
      </c>
      <c r="AT732" t="s">
        <v>9645</v>
      </c>
      <c r="AU732">
        <v>2000</v>
      </c>
      <c r="AV732">
        <v>32</v>
      </c>
      <c r="AW732">
        <v>3</v>
      </c>
      <c r="AX732" t="s">
        <v>74</v>
      </c>
      <c r="AY732" t="s">
        <v>74</v>
      </c>
      <c r="AZ732" t="s">
        <v>74</v>
      </c>
      <c r="BA732" t="s">
        <v>74</v>
      </c>
      <c r="BB732">
        <v>303</v>
      </c>
      <c r="BC732">
        <v>315</v>
      </c>
      <c r="BD732" t="s">
        <v>74</v>
      </c>
      <c r="BE732" t="s">
        <v>9755</v>
      </c>
      <c r="BF732" t="str">
        <f>HYPERLINK("http://dx.doi.org/10.2307/1552529","http://dx.doi.org/10.2307/1552529")</f>
        <v>http://dx.doi.org/10.2307/1552529</v>
      </c>
      <c r="BG732" t="s">
        <v>74</v>
      </c>
      <c r="BH732" t="s">
        <v>74</v>
      </c>
      <c r="BI732">
        <v>13</v>
      </c>
      <c r="BJ732" t="s">
        <v>6425</v>
      </c>
      <c r="BK732" t="s">
        <v>94</v>
      </c>
      <c r="BL732" t="s">
        <v>1942</v>
      </c>
      <c r="BM732" t="s">
        <v>9675</v>
      </c>
      <c r="BN732" t="s">
        <v>74</v>
      </c>
      <c r="BO732" t="s">
        <v>74</v>
      </c>
      <c r="BP732" t="s">
        <v>74</v>
      </c>
      <c r="BQ732" t="s">
        <v>74</v>
      </c>
      <c r="BR732" t="s">
        <v>97</v>
      </c>
      <c r="BS732" t="s">
        <v>9756</v>
      </c>
      <c r="BT732" t="str">
        <f>HYPERLINK("https%3A%2F%2Fwww.webofscience.com%2Fwos%2Fwoscc%2Ffull-record%2FWOS:000089252500009","View Full Record in Web of Science")</f>
        <v>View Full Record in Web of Science</v>
      </c>
    </row>
    <row r="733" spans="1:72" x14ac:dyDescent="0.15">
      <c r="A733" t="s">
        <v>72</v>
      </c>
      <c r="B733" t="s">
        <v>9757</v>
      </c>
      <c r="C733" t="s">
        <v>74</v>
      </c>
      <c r="D733" t="s">
        <v>74</v>
      </c>
      <c r="E733" t="s">
        <v>74</v>
      </c>
      <c r="F733" t="s">
        <v>9757</v>
      </c>
      <c r="G733" t="s">
        <v>74</v>
      </c>
      <c r="H733" t="s">
        <v>74</v>
      </c>
      <c r="I733" t="s">
        <v>9758</v>
      </c>
      <c r="J733" t="s">
        <v>6415</v>
      </c>
      <c r="K733" t="s">
        <v>74</v>
      </c>
      <c r="L733" t="s">
        <v>74</v>
      </c>
      <c r="M733" t="s">
        <v>77</v>
      </c>
      <c r="N733" t="s">
        <v>78</v>
      </c>
      <c r="O733" t="s">
        <v>74</v>
      </c>
      <c r="P733" t="s">
        <v>74</v>
      </c>
      <c r="Q733" t="s">
        <v>74</v>
      </c>
      <c r="R733" t="s">
        <v>74</v>
      </c>
      <c r="S733" t="s">
        <v>74</v>
      </c>
      <c r="T733" t="s">
        <v>74</v>
      </c>
      <c r="U733" t="s">
        <v>9759</v>
      </c>
      <c r="V733" t="s">
        <v>9760</v>
      </c>
      <c r="W733" t="s">
        <v>9761</v>
      </c>
      <c r="X733" t="s">
        <v>9762</v>
      </c>
      <c r="Y733" t="s">
        <v>9763</v>
      </c>
      <c r="Z733" t="s">
        <v>9764</v>
      </c>
      <c r="AA733" t="s">
        <v>74</v>
      </c>
      <c r="AB733" t="s">
        <v>74</v>
      </c>
      <c r="AC733" t="s">
        <v>74</v>
      </c>
      <c r="AD733" t="s">
        <v>74</v>
      </c>
      <c r="AE733" t="s">
        <v>74</v>
      </c>
      <c r="AF733" t="s">
        <v>74</v>
      </c>
      <c r="AG733">
        <v>35</v>
      </c>
      <c r="AH733">
        <v>26</v>
      </c>
      <c r="AI733">
        <v>27</v>
      </c>
      <c r="AJ733">
        <v>0</v>
      </c>
      <c r="AK733">
        <v>14</v>
      </c>
      <c r="AL733" t="s">
        <v>1039</v>
      </c>
      <c r="AM733" t="s">
        <v>1040</v>
      </c>
      <c r="AN733" t="s">
        <v>1041</v>
      </c>
      <c r="AO733" t="s">
        <v>6421</v>
      </c>
      <c r="AP733" t="s">
        <v>6449</v>
      </c>
      <c r="AQ733" t="s">
        <v>74</v>
      </c>
      <c r="AR733" t="s">
        <v>6422</v>
      </c>
      <c r="AS733" t="s">
        <v>6423</v>
      </c>
      <c r="AT733" t="s">
        <v>9645</v>
      </c>
      <c r="AU733">
        <v>2000</v>
      </c>
      <c r="AV733">
        <v>32</v>
      </c>
      <c r="AW733">
        <v>3</v>
      </c>
      <c r="AX733" t="s">
        <v>74</v>
      </c>
      <c r="AY733" t="s">
        <v>74</v>
      </c>
      <c r="AZ733" t="s">
        <v>74</v>
      </c>
      <c r="BA733" t="s">
        <v>74</v>
      </c>
      <c r="BB733">
        <v>316</v>
      </c>
      <c r="BC733">
        <v>323</v>
      </c>
      <c r="BD733" t="s">
        <v>74</v>
      </c>
      <c r="BE733" t="s">
        <v>9765</v>
      </c>
      <c r="BF733" t="str">
        <f>HYPERLINK("http://dx.doi.org/10.2307/1552530","http://dx.doi.org/10.2307/1552530")</f>
        <v>http://dx.doi.org/10.2307/1552530</v>
      </c>
      <c r="BG733" t="s">
        <v>74</v>
      </c>
      <c r="BH733" t="s">
        <v>74</v>
      </c>
      <c r="BI733">
        <v>8</v>
      </c>
      <c r="BJ733" t="s">
        <v>6425</v>
      </c>
      <c r="BK733" t="s">
        <v>94</v>
      </c>
      <c r="BL733" t="s">
        <v>1942</v>
      </c>
      <c r="BM733" t="s">
        <v>9675</v>
      </c>
      <c r="BN733" t="s">
        <v>74</v>
      </c>
      <c r="BO733" t="s">
        <v>74</v>
      </c>
      <c r="BP733" t="s">
        <v>74</v>
      </c>
      <c r="BQ733" t="s">
        <v>74</v>
      </c>
      <c r="BR733" t="s">
        <v>97</v>
      </c>
      <c r="BS733" t="s">
        <v>9766</v>
      </c>
      <c r="BT733" t="str">
        <f>HYPERLINK("https%3A%2F%2Fwww.webofscience.com%2Fwos%2Fwoscc%2Ffull-record%2FWOS:000089252500010","View Full Record in Web of Science")</f>
        <v>View Full Record in Web of Science</v>
      </c>
    </row>
    <row r="734" spans="1:72" x14ac:dyDescent="0.15">
      <c r="A734" t="s">
        <v>72</v>
      </c>
      <c r="B734" t="s">
        <v>9767</v>
      </c>
      <c r="C734" t="s">
        <v>74</v>
      </c>
      <c r="D734" t="s">
        <v>74</v>
      </c>
      <c r="E734" t="s">
        <v>74</v>
      </c>
      <c r="F734" t="s">
        <v>9767</v>
      </c>
      <c r="G734" t="s">
        <v>74</v>
      </c>
      <c r="H734" t="s">
        <v>74</v>
      </c>
      <c r="I734" t="s">
        <v>9768</v>
      </c>
      <c r="J734" t="s">
        <v>6415</v>
      </c>
      <c r="K734" t="s">
        <v>74</v>
      </c>
      <c r="L734" t="s">
        <v>74</v>
      </c>
      <c r="M734" t="s">
        <v>77</v>
      </c>
      <c r="N734" t="s">
        <v>78</v>
      </c>
      <c r="O734" t="s">
        <v>74</v>
      </c>
      <c r="P734" t="s">
        <v>74</v>
      </c>
      <c r="Q734" t="s">
        <v>74</v>
      </c>
      <c r="R734" t="s">
        <v>74</v>
      </c>
      <c r="S734" t="s">
        <v>74</v>
      </c>
      <c r="T734" t="s">
        <v>74</v>
      </c>
      <c r="U734" t="s">
        <v>9769</v>
      </c>
      <c r="V734" t="s">
        <v>9770</v>
      </c>
      <c r="W734" t="s">
        <v>9761</v>
      </c>
      <c r="X734" t="s">
        <v>9762</v>
      </c>
      <c r="Y734" t="s">
        <v>9763</v>
      </c>
      <c r="Z734" t="s">
        <v>9771</v>
      </c>
      <c r="AA734" t="s">
        <v>74</v>
      </c>
      <c r="AB734" t="s">
        <v>74</v>
      </c>
      <c r="AC734" t="s">
        <v>74</v>
      </c>
      <c r="AD734" t="s">
        <v>74</v>
      </c>
      <c r="AE734" t="s">
        <v>74</v>
      </c>
      <c r="AF734" t="s">
        <v>74</v>
      </c>
      <c r="AG734">
        <v>30</v>
      </c>
      <c r="AH734">
        <v>25</v>
      </c>
      <c r="AI734">
        <v>32</v>
      </c>
      <c r="AJ734">
        <v>0</v>
      </c>
      <c r="AK734">
        <v>13</v>
      </c>
      <c r="AL734" t="s">
        <v>1039</v>
      </c>
      <c r="AM734" t="s">
        <v>1040</v>
      </c>
      <c r="AN734" t="s">
        <v>1041</v>
      </c>
      <c r="AO734" t="s">
        <v>6421</v>
      </c>
      <c r="AP734" t="s">
        <v>6449</v>
      </c>
      <c r="AQ734" t="s">
        <v>74</v>
      </c>
      <c r="AR734" t="s">
        <v>6422</v>
      </c>
      <c r="AS734" t="s">
        <v>6423</v>
      </c>
      <c r="AT734" t="s">
        <v>9645</v>
      </c>
      <c r="AU734">
        <v>2000</v>
      </c>
      <c r="AV734">
        <v>32</v>
      </c>
      <c r="AW734">
        <v>3</v>
      </c>
      <c r="AX734" t="s">
        <v>74</v>
      </c>
      <c r="AY734" t="s">
        <v>74</v>
      </c>
      <c r="AZ734" t="s">
        <v>74</v>
      </c>
      <c r="BA734" t="s">
        <v>74</v>
      </c>
      <c r="BB734">
        <v>324</v>
      </c>
      <c r="BC734">
        <v>330</v>
      </c>
      <c r="BD734" t="s">
        <v>74</v>
      </c>
      <c r="BE734" t="s">
        <v>9772</v>
      </c>
      <c r="BF734" t="str">
        <f>HYPERLINK("http://dx.doi.org/10.2307/1552531","http://dx.doi.org/10.2307/1552531")</f>
        <v>http://dx.doi.org/10.2307/1552531</v>
      </c>
      <c r="BG734" t="s">
        <v>74</v>
      </c>
      <c r="BH734" t="s">
        <v>74</v>
      </c>
      <c r="BI734">
        <v>7</v>
      </c>
      <c r="BJ734" t="s">
        <v>6425</v>
      </c>
      <c r="BK734" t="s">
        <v>94</v>
      </c>
      <c r="BL734" t="s">
        <v>1942</v>
      </c>
      <c r="BM734" t="s">
        <v>9675</v>
      </c>
      <c r="BN734" t="s">
        <v>74</v>
      </c>
      <c r="BO734" t="s">
        <v>74</v>
      </c>
      <c r="BP734" t="s">
        <v>74</v>
      </c>
      <c r="BQ734" t="s">
        <v>74</v>
      </c>
      <c r="BR734" t="s">
        <v>97</v>
      </c>
      <c r="BS734" t="s">
        <v>9773</v>
      </c>
      <c r="BT734" t="str">
        <f>HYPERLINK("https%3A%2F%2Fwww.webofscience.com%2Fwos%2Fwoscc%2Ffull-record%2FWOS:000089252500011","View Full Record in Web of Science")</f>
        <v>View Full Record in Web of Science</v>
      </c>
    </row>
    <row r="735" spans="1:72" x14ac:dyDescent="0.15">
      <c r="A735" t="s">
        <v>72</v>
      </c>
      <c r="B735" t="s">
        <v>9774</v>
      </c>
      <c r="C735" t="s">
        <v>74</v>
      </c>
      <c r="D735" t="s">
        <v>74</v>
      </c>
      <c r="E735" t="s">
        <v>74</v>
      </c>
      <c r="F735" t="s">
        <v>9774</v>
      </c>
      <c r="G735" t="s">
        <v>74</v>
      </c>
      <c r="H735" t="s">
        <v>74</v>
      </c>
      <c r="I735" t="s">
        <v>9775</v>
      </c>
      <c r="J735" t="s">
        <v>6415</v>
      </c>
      <c r="K735" t="s">
        <v>74</v>
      </c>
      <c r="L735" t="s">
        <v>74</v>
      </c>
      <c r="M735" t="s">
        <v>77</v>
      </c>
      <c r="N735" t="s">
        <v>78</v>
      </c>
      <c r="O735" t="s">
        <v>74</v>
      </c>
      <c r="P735" t="s">
        <v>74</v>
      </c>
      <c r="Q735" t="s">
        <v>74</v>
      </c>
      <c r="R735" t="s">
        <v>74</v>
      </c>
      <c r="S735" t="s">
        <v>74</v>
      </c>
      <c r="T735" t="s">
        <v>74</v>
      </c>
      <c r="U735" t="s">
        <v>74</v>
      </c>
      <c r="V735" t="s">
        <v>9776</v>
      </c>
      <c r="W735" t="s">
        <v>9777</v>
      </c>
      <c r="X735" t="s">
        <v>9778</v>
      </c>
      <c r="Y735" t="s">
        <v>9779</v>
      </c>
      <c r="Z735" t="s">
        <v>74</v>
      </c>
      <c r="AA735" t="s">
        <v>9780</v>
      </c>
      <c r="AB735" t="s">
        <v>74</v>
      </c>
      <c r="AC735" t="s">
        <v>74</v>
      </c>
      <c r="AD735" t="s">
        <v>74</v>
      </c>
      <c r="AE735" t="s">
        <v>74</v>
      </c>
      <c r="AF735" t="s">
        <v>74</v>
      </c>
      <c r="AG735">
        <v>14</v>
      </c>
      <c r="AH735">
        <v>12</v>
      </c>
      <c r="AI735">
        <v>14</v>
      </c>
      <c r="AJ735">
        <v>1</v>
      </c>
      <c r="AK735">
        <v>8</v>
      </c>
      <c r="AL735" t="s">
        <v>6419</v>
      </c>
      <c r="AM735" t="s">
        <v>982</v>
      </c>
      <c r="AN735" t="s">
        <v>6420</v>
      </c>
      <c r="AO735" t="s">
        <v>6421</v>
      </c>
      <c r="AP735" t="s">
        <v>74</v>
      </c>
      <c r="AQ735" t="s">
        <v>74</v>
      </c>
      <c r="AR735" t="s">
        <v>6422</v>
      </c>
      <c r="AS735" t="s">
        <v>6423</v>
      </c>
      <c r="AT735" t="s">
        <v>9645</v>
      </c>
      <c r="AU735">
        <v>2000</v>
      </c>
      <c r="AV735">
        <v>32</v>
      </c>
      <c r="AW735">
        <v>3</v>
      </c>
      <c r="AX735" t="s">
        <v>74</v>
      </c>
      <c r="AY735" t="s">
        <v>74</v>
      </c>
      <c r="AZ735" t="s">
        <v>74</v>
      </c>
      <c r="BA735" t="s">
        <v>74</v>
      </c>
      <c r="BB735">
        <v>331</v>
      </c>
      <c r="BC735">
        <v>335</v>
      </c>
      <c r="BD735" t="s">
        <v>74</v>
      </c>
      <c r="BE735" t="s">
        <v>9781</v>
      </c>
      <c r="BF735" t="str">
        <f>HYPERLINK("http://dx.doi.org/10.2307/1552532","http://dx.doi.org/10.2307/1552532")</f>
        <v>http://dx.doi.org/10.2307/1552532</v>
      </c>
      <c r="BG735" t="s">
        <v>74</v>
      </c>
      <c r="BH735" t="s">
        <v>74</v>
      </c>
      <c r="BI735">
        <v>5</v>
      </c>
      <c r="BJ735" t="s">
        <v>6425</v>
      </c>
      <c r="BK735" t="s">
        <v>94</v>
      </c>
      <c r="BL735" t="s">
        <v>1942</v>
      </c>
      <c r="BM735" t="s">
        <v>9675</v>
      </c>
      <c r="BN735" t="s">
        <v>74</v>
      </c>
      <c r="BO735" t="s">
        <v>1755</v>
      </c>
      <c r="BP735" t="s">
        <v>74</v>
      </c>
      <c r="BQ735" t="s">
        <v>74</v>
      </c>
      <c r="BR735" t="s">
        <v>97</v>
      </c>
      <c r="BS735" t="s">
        <v>9782</v>
      </c>
      <c r="BT735" t="str">
        <f>HYPERLINK("https%3A%2F%2Fwww.webofscience.com%2Fwos%2Fwoscc%2Ffull-record%2FWOS:000089252500012","View Full Record in Web of Science")</f>
        <v>View Full Record in Web of Science</v>
      </c>
    </row>
    <row r="736" spans="1:72" x14ac:dyDescent="0.15">
      <c r="A736" t="s">
        <v>72</v>
      </c>
      <c r="B736" t="s">
        <v>9783</v>
      </c>
      <c r="C736" t="s">
        <v>74</v>
      </c>
      <c r="D736" t="s">
        <v>74</v>
      </c>
      <c r="E736" t="s">
        <v>74</v>
      </c>
      <c r="F736" t="s">
        <v>9783</v>
      </c>
      <c r="G736" t="s">
        <v>74</v>
      </c>
      <c r="H736" t="s">
        <v>74</v>
      </c>
      <c r="I736" t="s">
        <v>9784</v>
      </c>
      <c r="J736" t="s">
        <v>6415</v>
      </c>
      <c r="K736" t="s">
        <v>74</v>
      </c>
      <c r="L736" t="s">
        <v>74</v>
      </c>
      <c r="M736" t="s">
        <v>77</v>
      </c>
      <c r="N736" t="s">
        <v>78</v>
      </c>
      <c r="O736" t="s">
        <v>74</v>
      </c>
      <c r="P736" t="s">
        <v>74</v>
      </c>
      <c r="Q736" t="s">
        <v>74</v>
      </c>
      <c r="R736" t="s">
        <v>74</v>
      </c>
      <c r="S736" t="s">
        <v>74</v>
      </c>
      <c r="T736" t="s">
        <v>74</v>
      </c>
      <c r="U736" t="s">
        <v>9785</v>
      </c>
      <c r="V736" t="s">
        <v>9786</v>
      </c>
      <c r="W736" t="s">
        <v>9787</v>
      </c>
      <c r="X736" t="s">
        <v>9788</v>
      </c>
      <c r="Y736" t="s">
        <v>9789</v>
      </c>
      <c r="Z736" t="s">
        <v>74</v>
      </c>
      <c r="AA736" t="s">
        <v>9790</v>
      </c>
      <c r="AB736" t="s">
        <v>9791</v>
      </c>
      <c r="AC736" t="s">
        <v>74</v>
      </c>
      <c r="AD736" t="s">
        <v>74</v>
      </c>
      <c r="AE736" t="s">
        <v>74</v>
      </c>
      <c r="AF736" t="s">
        <v>74</v>
      </c>
      <c r="AG736">
        <v>44</v>
      </c>
      <c r="AH736">
        <v>31</v>
      </c>
      <c r="AI736">
        <v>32</v>
      </c>
      <c r="AJ736">
        <v>0</v>
      </c>
      <c r="AK736">
        <v>19</v>
      </c>
      <c r="AL736" t="s">
        <v>6419</v>
      </c>
      <c r="AM736" t="s">
        <v>982</v>
      </c>
      <c r="AN736" t="s">
        <v>6420</v>
      </c>
      <c r="AO736" t="s">
        <v>6421</v>
      </c>
      <c r="AP736" t="s">
        <v>74</v>
      </c>
      <c r="AQ736" t="s">
        <v>74</v>
      </c>
      <c r="AR736" t="s">
        <v>6422</v>
      </c>
      <c r="AS736" t="s">
        <v>6423</v>
      </c>
      <c r="AT736" t="s">
        <v>9645</v>
      </c>
      <c r="AU736">
        <v>2000</v>
      </c>
      <c r="AV736">
        <v>32</v>
      </c>
      <c r="AW736">
        <v>3</v>
      </c>
      <c r="AX736" t="s">
        <v>74</v>
      </c>
      <c r="AY736" t="s">
        <v>74</v>
      </c>
      <c r="AZ736" t="s">
        <v>74</v>
      </c>
      <c r="BA736" t="s">
        <v>74</v>
      </c>
      <c r="BB736">
        <v>336</v>
      </c>
      <c r="BC736">
        <v>345</v>
      </c>
      <c r="BD736" t="s">
        <v>74</v>
      </c>
      <c r="BE736" t="s">
        <v>9792</v>
      </c>
      <c r="BF736" t="str">
        <f>HYPERLINK("http://dx.doi.org/10.2307/1552533","http://dx.doi.org/10.2307/1552533")</f>
        <v>http://dx.doi.org/10.2307/1552533</v>
      </c>
      <c r="BG736" t="s">
        <v>74</v>
      </c>
      <c r="BH736" t="s">
        <v>74</v>
      </c>
      <c r="BI736">
        <v>10</v>
      </c>
      <c r="BJ736" t="s">
        <v>6425</v>
      </c>
      <c r="BK736" t="s">
        <v>94</v>
      </c>
      <c r="BL736" t="s">
        <v>1942</v>
      </c>
      <c r="BM736" t="s">
        <v>9675</v>
      </c>
      <c r="BN736" t="s">
        <v>74</v>
      </c>
      <c r="BO736" t="s">
        <v>74</v>
      </c>
      <c r="BP736" t="s">
        <v>74</v>
      </c>
      <c r="BQ736" t="s">
        <v>74</v>
      </c>
      <c r="BR736" t="s">
        <v>97</v>
      </c>
      <c r="BS736" t="s">
        <v>9793</v>
      </c>
      <c r="BT736" t="str">
        <f>HYPERLINK("https%3A%2F%2Fwww.webofscience.com%2Fwos%2Fwoscc%2Ffull-record%2FWOS:000089252500013","View Full Record in Web of Science")</f>
        <v>View Full Record in Web of Science</v>
      </c>
    </row>
    <row r="737" spans="1:72" x14ac:dyDescent="0.15">
      <c r="A737" t="s">
        <v>72</v>
      </c>
      <c r="B737" t="s">
        <v>9794</v>
      </c>
      <c r="C737" t="s">
        <v>74</v>
      </c>
      <c r="D737" t="s">
        <v>74</v>
      </c>
      <c r="E737" t="s">
        <v>74</v>
      </c>
      <c r="F737" t="s">
        <v>9794</v>
      </c>
      <c r="G737" t="s">
        <v>74</v>
      </c>
      <c r="H737" t="s">
        <v>74</v>
      </c>
      <c r="I737" t="s">
        <v>9795</v>
      </c>
      <c r="J737" t="s">
        <v>6415</v>
      </c>
      <c r="K737" t="s">
        <v>74</v>
      </c>
      <c r="L737" t="s">
        <v>74</v>
      </c>
      <c r="M737" t="s">
        <v>77</v>
      </c>
      <c r="N737" t="s">
        <v>78</v>
      </c>
      <c r="O737" t="s">
        <v>74</v>
      </c>
      <c r="P737" t="s">
        <v>74</v>
      </c>
      <c r="Q737" t="s">
        <v>74</v>
      </c>
      <c r="R737" t="s">
        <v>74</v>
      </c>
      <c r="S737" t="s">
        <v>74</v>
      </c>
      <c r="T737" t="s">
        <v>74</v>
      </c>
      <c r="U737" t="s">
        <v>9796</v>
      </c>
      <c r="V737" t="s">
        <v>9797</v>
      </c>
      <c r="W737" t="s">
        <v>9798</v>
      </c>
      <c r="X737" t="s">
        <v>9799</v>
      </c>
      <c r="Y737" t="s">
        <v>9800</v>
      </c>
      <c r="Z737" t="s">
        <v>74</v>
      </c>
      <c r="AA737" t="s">
        <v>74</v>
      </c>
      <c r="AB737" t="s">
        <v>9801</v>
      </c>
      <c r="AC737" t="s">
        <v>74</v>
      </c>
      <c r="AD737" t="s">
        <v>74</v>
      </c>
      <c r="AE737" t="s">
        <v>74</v>
      </c>
      <c r="AF737" t="s">
        <v>74</v>
      </c>
      <c r="AG737">
        <v>19</v>
      </c>
      <c r="AH737">
        <v>18</v>
      </c>
      <c r="AI737">
        <v>19</v>
      </c>
      <c r="AJ737">
        <v>0</v>
      </c>
      <c r="AK737">
        <v>13</v>
      </c>
      <c r="AL737" t="s">
        <v>6419</v>
      </c>
      <c r="AM737" t="s">
        <v>982</v>
      </c>
      <c r="AN737" t="s">
        <v>6420</v>
      </c>
      <c r="AO737" t="s">
        <v>6421</v>
      </c>
      <c r="AP737" t="s">
        <v>74</v>
      </c>
      <c r="AQ737" t="s">
        <v>74</v>
      </c>
      <c r="AR737" t="s">
        <v>6422</v>
      </c>
      <c r="AS737" t="s">
        <v>6423</v>
      </c>
      <c r="AT737" t="s">
        <v>9645</v>
      </c>
      <c r="AU737">
        <v>2000</v>
      </c>
      <c r="AV737">
        <v>32</v>
      </c>
      <c r="AW737">
        <v>3</v>
      </c>
      <c r="AX737" t="s">
        <v>74</v>
      </c>
      <c r="AY737" t="s">
        <v>74</v>
      </c>
      <c r="AZ737" t="s">
        <v>74</v>
      </c>
      <c r="BA737" t="s">
        <v>74</v>
      </c>
      <c r="BB737">
        <v>346</v>
      </c>
      <c r="BC737">
        <v>350</v>
      </c>
      <c r="BD737" t="s">
        <v>74</v>
      </c>
      <c r="BE737" t="s">
        <v>9802</v>
      </c>
      <c r="BF737" t="str">
        <f>HYPERLINK("http://dx.doi.org/10.2307/1552534","http://dx.doi.org/10.2307/1552534")</f>
        <v>http://dx.doi.org/10.2307/1552534</v>
      </c>
      <c r="BG737" t="s">
        <v>74</v>
      </c>
      <c r="BH737" t="s">
        <v>74</v>
      </c>
      <c r="BI737">
        <v>5</v>
      </c>
      <c r="BJ737" t="s">
        <v>6425</v>
      </c>
      <c r="BK737" t="s">
        <v>94</v>
      </c>
      <c r="BL737" t="s">
        <v>1942</v>
      </c>
      <c r="BM737" t="s">
        <v>9675</v>
      </c>
      <c r="BN737" t="s">
        <v>74</v>
      </c>
      <c r="BO737" t="s">
        <v>1755</v>
      </c>
      <c r="BP737" t="s">
        <v>74</v>
      </c>
      <c r="BQ737" t="s">
        <v>74</v>
      </c>
      <c r="BR737" t="s">
        <v>97</v>
      </c>
      <c r="BS737" t="s">
        <v>9803</v>
      </c>
      <c r="BT737" t="str">
        <f>HYPERLINK("https%3A%2F%2Fwww.webofscience.com%2Fwos%2Fwoscc%2Ffull-record%2FWOS:000089252500014","View Full Record in Web of Science")</f>
        <v>View Full Record in Web of Science</v>
      </c>
    </row>
    <row r="738" spans="1:72" x14ac:dyDescent="0.15">
      <c r="A738" t="s">
        <v>72</v>
      </c>
      <c r="B738" t="s">
        <v>9804</v>
      </c>
      <c r="C738" t="s">
        <v>74</v>
      </c>
      <c r="D738" t="s">
        <v>74</v>
      </c>
      <c r="E738" t="s">
        <v>74</v>
      </c>
      <c r="F738" t="s">
        <v>9804</v>
      </c>
      <c r="G738" t="s">
        <v>74</v>
      </c>
      <c r="H738" t="s">
        <v>74</v>
      </c>
      <c r="I738" t="s">
        <v>9805</v>
      </c>
      <c r="J738" t="s">
        <v>6415</v>
      </c>
      <c r="K738" t="s">
        <v>74</v>
      </c>
      <c r="L738" t="s">
        <v>74</v>
      </c>
      <c r="M738" t="s">
        <v>77</v>
      </c>
      <c r="N738" t="s">
        <v>78</v>
      </c>
      <c r="O738" t="s">
        <v>74</v>
      </c>
      <c r="P738" t="s">
        <v>74</v>
      </c>
      <c r="Q738" t="s">
        <v>74</v>
      </c>
      <c r="R738" t="s">
        <v>74</v>
      </c>
      <c r="S738" t="s">
        <v>74</v>
      </c>
      <c r="T738" t="s">
        <v>74</v>
      </c>
      <c r="U738" t="s">
        <v>9806</v>
      </c>
      <c r="V738" t="s">
        <v>9807</v>
      </c>
      <c r="W738" t="s">
        <v>9808</v>
      </c>
      <c r="X738" t="s">
        <v>9809</v>
      </c>
      <c r="Y738" t="s">
        <v>9810</v>
      </c>
      <c r="Z738" t="s">
        <v>9811</v>
      </c>
      <c r="AA738" t="s">
        <v>74</v>
      </c>
      <c r="AB738" t="s">
        <v>74</v>
      </c>
      <c r="AC738" t="s">
        <v>74</v>
      </c>
      <c r="AD738" t="s">
        <v>74</v>
      </c>
      <c r="AE738" t="s">
        <v>74</v>
      </c>
      <c r="AF738" t="s">
        <v>74</v>
      </c>
      <c r="AG738">
        <v>63</v>
      </c>
      <c r="AH738">
        <v>27</v>
      </c>
      <c r="AI738">
        <v>36</v>
      </c>
      <c r="AJ738">
        <v>0</v>
      </c>
      <c r="AK738">
        <v>6</v>
      </c>
      <c r="AL738" t="s">
        <v>1039</v>
      </c>
      <c r="AM738" t="s">
        <v>1040</v>
      </c>
      <c r="AN738" t="s">
        <v>1041</v>
      </c>
      <c r="AO738" t="s">
        <v>6421</v>
      </c>
      <c r="AP738" t="s">
        <v>6449</v>
      </c>
      <c r="AQ738" t="s">
        <v>74</v>
      </c>
      <c r="AR738" t="s">
        <v>6422</v>
      </c>
      <c r="AS738" t="s">
        <v>6423</v>
      </c>
      <c r="AT738" t="s">
        <v>9645</v>
      </c>
      <c r="AU738">
        <v>2000</v>
      </c>
      <c r="AV738">
        <v>32</v>
      </c>
      <c r="AW738">
        <v>3</v>
      </c>
      <c r="AX738" t="s">
        <v>74</v>
      </c>
      <c r="AY738" t="s">
        <v>74</v>
      </c>
      <c r="AZ738" t="s">
        <v>74</v>
      </c>
      <c r="BA738" t="s">
        <v>74</v>
      </c>
      <c r="BB738">
        <v>351</v>
      </c>
      <c r="BC738">
        <v>359</v>
      </c>
      <c r="BD738" t="s">
        <v>74</v>
      </c>
      <c r="BE738" t="s">
        <v>9812</v>
      </c>
      <c r="BF738" t="str">
        <f>HYPERLINK("http://dx.doi.org/10.2307/1552535","http://dx.doi.org/10.2307/1552535")</f>
        <v>http://dx.doi.org/10.2307/1552535</v>
      </c>
      <c r="BG738" t="s">
        <v>74</v>
      </c>
      <c r="BH738" t="s">
        <v>74</v>
      </c>
      <c r="BI738">
        <v>9</v>
      </c>
      <c r="BJ738" t="s">
        <v>6425</v>
      </c>
      <c r="BK738" t="s">
        <v>9813</v>
      </c>
      <c r="BL738" t="s">
        <v>1942</v>
      </c>
      <c r="BM738" t="s">
        <v>9675</v>
      </c>
      <c r="BN738" t="s">
        <v>74</v>
      </c>
      <c r="BO738" t="s">
        <v>1755</v>
      </c>
      <c r="BP738" t="s">
        <v>74</v>
      </c>
      <c r="BQ738" t="s">
        <v>74</v>
      </c>
      <c r="BR738" t="s">
        <v>97</v>
      </c>
      <c r="BS738" t="s">
        <v>9814</v>
      </c>
      <c r="BT738" t="str">
        <f>HYPERLINK("https%3A%2F%2Fwww.webofscience.com%2Fwos%2Fwoscc%2Ffull-record%2FWOS:000089252500015","View Full Record in Web of Science")</f>
        <v>View Full Record in Web of Science</v>
      </c>
    </row>
    <row r="739" spans="1:72" x14ac:dyDescent="0.15">
      <c r="A739" t="s">
        <v>72</v>
      </c>
      <c r="B739" t="s">
        <v>9815</v>
      </c>
      <c r="C739" t="s">
        <v>74</v>
      </c>
      <c r="D739" t="s">
        <v>74</v>
      </c>
      <c r="E739" t="s">
        <v>74</v>
      </c>
      <c r="F739" t="s">
        <v>9815</v>
      </c>
      <c r="G739" t="s">
        <v>74</v>
      </c>
      <c r="H739" t="s">
        <v>74</v>
      </c>
      <c r="I739" t="s">
        <v>9816</v>
      </c>
      <c r="J739" t="s">
        <v>6415</v>
      </c>
      <c r="K739" t="s">
        <v>74</v>
      </c>
      <c r="L739" t="s">
        <v>74</v>
      </c>
      <c r="M739" t="s">
        <v>77</v>
      </c>
      <c r="N739" t="s">
        <v>9817</v>
      </c>
      <c r="O739" t="s">
        <v>74</v>
      </c>
      <c r="P739" t="s">
        <v>74</v>
      </c>
      <c r="Q739" t="s">
        <v>74</v>
      </c>
      <c r="R739" t="s">
        <v>74</v>
      </c>
      <c r="S739" t="s">
        <v>74</v>
      </c>
      <c r="T739" t="s">
        <v>74</v>
      </c>
      <c r="U739" t="s">
        <v>74</v>
      </c>
      <c r="V739" t="s">
        <v>74</v>
      </c>
      <c r="W739" t="s">
        <v>9818</v>
      </c>
      <c r="X739" t="s">
        <v>9819</v>
      </c>
      <c r="Y739" t="s">
        <v>74</v>
      </c>
      <c r="Z739" t="s">
        <v>74</v>
      </c>
      <c r="AA739" t="s">
        <v>74</v>
      </c>
      <c r="AB739" t="s">
        <v>74</v>
      </c>
      <c r="AC739" t="s">
        <v>74</v>
      </c>
      <c r="AD739" t="s">
        <v>74</v>
      </c>
      <c r="AE739" t="s">
        <v>74</v>
      </c>
      <c r="AF739" t="s">
        <v>74</v>
      </c>
      <c r="AG739">
        <v>1</v>
      </c>
      <c r="AH739">
        <v>1</v>
      </c>
      <c r="AI739">
        <v>1</v>
      </c>
      <c r="AJ739">
        <v>0</v>
      </c>
      <c r="AK739">
        <v>1</v>
      </c>
      <c r="AL739" t="s">
        <v>6419</v>
      </c>
      <c r="AM739" t="s">
        <v>982</v>
      </c>
      <c r="AN739" t="s">
        <v>6420</v>
      </c>
      <c r="AO739" t="s">
        <v>6421</v>
      </c>
      <c r="AP739" t="s">
        <v>74</v>
      </c>
      <c r="AQ739" t="s">
        <v>74</v>
      </c>
      <c r="AR739" t="s">
        <v>6422</v>
      </c>
      <c r="AS739" t="s">
        <v>6423</v>
      </c>
      <c r="AT739" t="s">
        <v>9645</v>
      </c>
      <c r="AU739">
        <v>2000</v>
      </c>
      <c r="AV739">
        <v>32</v>
      </c>
      <c r="AW739">
        <v>3</v>
      </c>
      <c r="AX739" t="s">
        <v>74</v>
      </c>
      <c r="AY739" t="s">
        <v>74</v>
      </c>
      <c r="AZ739" t="s">
        <v>74</v>
      </c>
      <c r="BA739" t="s">
        <v>74</v>
      </c>
      <c r="BB739">
        <v>360</v>
      </c>
      <c r="BC739">
        <v>362</v>
      </c>
      <c r="BD739" t="s">
        <v>74</v>
      </c>
      <c r="BE739" t="s">
        <v>9820</v>
      </c>
      <c r="BF739" t="str">
        <f>HYPERLINK("http://dx.doi.org/10.1080/15230430.2000.12003375","http://dx.doi.org/10.1080/15230430.2000.12003375")</f>
        <v>http://dx.doi.org/10.1080/15230430.2000.12003375</v>
      </c>
      <c r="BG739" t="s">
        <v>74</v>
      </c>
      <c r="BH739" t="s">
        <v>74</v>
      </c>
      <c r="BI739">
        <v>3</v>
      </c>
      <c r="BJ739" t="s">
        <v>6425</v>
      </c>
      <c r="BK739" t="s">
        <v>94</v>
      </c>
      <c r="BL739" t="s">
        <v>1942</v>
      </c>
      <c r="BM739" t="s">
        <v>9675</v>
      </c>
      <c r="BN739" t="s">
        <v>74</v>
      </c>
      <c r="BO739" t="s">
        <v>1755</v>
      </c>
      <c r="BP739" t="s">
        <v>74</v>
      </c>
      <c r="BQ739" t="s">
        <v>74</v>
      </c>
      <c r="BR739" t="s">
        <v>97</v>
      </c>
      <c r="BS739" t="s">
        <v>9821</v>
      </c>
      <c r="BT739" t="str">
        <f>HYPERLINK("https%3A%2F%2Fwww.webofscience.com%2Fwos%2Fwoscc%2Ffull-record%2FWOS:000089252500016","View Full Record in Web of Science")</f>
        <v>View Full Record in Web of Science</v>
      </c>
    </row>
    <row r="740" spans="1:72" x14ac:dyDescent="0.15">
      <c r="A740" t="s">
        <v>72</v>
      </c>
      <c r="B740" t="s">
        <v>9822</v>
      </c>
      <c r="C740" t="s">
        <v>74</v>
      </c>
      <c r="D740" t="s">
        <v>74</v>
      </c>
      <c r="E740" t="s">
        <v>74</v>
      </c>
      <c r="F740" t="s">
        <v>9822</v>
      </c>
      <c r="G740" t="s">
        <v>74</v>
      </c>
      <c r="H740" t="s">
        <v>74</v>
      </c>
      <c r="I740" t="s">
        <v>9823</v>
      </c>
      <c r="J740" t="s">
        <v>6415</v>
      </c>
      <c r="K740" t="s">
        <v>74</v>
      </c>
      <c r="L740" t="s">
        <v>74</v>
      </c>
      <c r="M740" t="s">
        <v>77</v>
      </c>
      <c r="N740" t="s">
        <v>6591</v>
      </c>
      <c r="O740" t="s">
        <v>74</v>
      </c>
      <c r="P740" t="s">
        <v>74</v>
      </c>
      <c r="Q740" t="s">
        <v>74</v>
      </c>
      <c r="R740" t="s">
        <v>74</v>
      </c>
      <c r="S740" t="s">
        <v>74</v>
      </c>
      <c r="T740" t="s">
        <v>74</v>
      </c>
      <c r="U740" t="s">
        <v>74</v>
      </c>
      <c r="V740" t="s">
        <v>74</v>
      </c>
      <c r="W740" t="s">
        <v>74</v>
      </c>
      <c r="X740" t="s">
        <v>74</v>
      </c>
      <c r="Y740" t="s">
        <v>74</v>
      </c>
      <c r="Z740" t="s">
        <v>74</v>
      </c>
      <c r="AA740" t="s">
        <v>9824</v>
      </c>
      <c r="AB740" t="s">
        <v>74</v>
      </c>
      <c r="AC740" t="s">
        <v>74</v>
      </c>
      <c r="AD740" t="s">
        <v>74</v>
      </c>
      <c r="AE740" t="s">
        <v>74</v>
      </c>
      <c r="AF740" t="s">
        <v>74</v>
      </c>
      <c r="AG740">
        <v>1</v>
      </c>
      <c r="AH740">
        <v>0</v>
      </c>
      <c r="AI740">
        <v>0</v>
      </c>
      <c r="AJ740">
        <v>0</v>
      </c>
      <c r="AK740">
        <v>3</v>
      </c>
      <c r="AL740" t="s">
        <v>6419</v>
      </c>
      <c r="AM740" t="s">
        <v>982</v>
      </c>
      <c r="AN740" t="s">
        <v>6420</v>
      </c>
      <c r="AO740" t="s">
        <v>6421</v>
      </c>
      <c r="AP740" t="s">
        <v>74</v>
      </c>
      <c r="AQ740" t="s">
        <v>74</v>
      </c>
      <c r="AR740" t="s">
        <v>6422</v>
      </c>
      <c r="AS740" t="s">
        <v>6423</v>
      </c>
      <c r="AT740" t="s">
        <v>9645</v>
      </c>
      <c r="AU740">
        <v>2000</v>
      </c>
      <c r="AV740">
        <v>32</v>
      </c>
      <c r="AW740">
        <v>3</v>
      </c>
      <c r="AX740" t="s">
        <v>74</v>
      </c>
      <c r="AY740" t="s">
        <v>74</v>
      </c>
      <c r="AZ740" t="s">
        <v>74</v>
      </c>
      <c r="BA740" t="s">
        <v>74</v>
      </c>
      <c r="BB740">
        <v>366</v>
      </c>
      <c r="BC740">
        <v>366</v>
      </c>
      <c r="BD740" t="s">
        <v>74</v>
      </c>
      <c r="BE740" t="s">
        <v>74</v>
      </c>
      <c r="BF740" t="s">
        <v>74</v>
      </c>
      <c r="BG740" t="s">
        <v>74</v>
      </c>
      <c r="BH740" t="s">
        <v>74</v>
      </c>
      <c r="BI740">
        <v>1</v>
      </c>
      <c r="BJ740" t="s">
        <v>6425</v>
      </c>
      <c r="BK740" t="s">
        <v>94</v>
      </c>
      <c r="BL740" t="s">
        <v>1942</v>
      </c>
      <c r="BM740" t="s">
        <v>9675</v>
      </c>
      <c r="BN740" t="s">
        <v>74</v>
      </c>
      <c r="BO740" t="s">
        <v>74</v>
      </c>
      <c r="BP740" t="s">
        <v>74</v>
      </c>
      <c r="BQ740" t="s">
        <v>74</v>
      </c>
      <c r="BR740" t="s">
        <v>97</v>
      </c>
      <c r="BS740" t="s">
        <v>9825</v>
      </c>
      <c r="BT740" t="str">
        <f>HYPERLINK("https%3A%2F%2Fwww.webofscience.com%2Fwos%2Fwoscc%2Ffull-record%2FWOS:000089252500017","View Full Record in Web of Science")</f>
        <v>View Full Record in Web of Science</v>
      </c>
    </row>
    <row r="741" spans="1:72" x14ac:dyDescent="0.15">
      <c r="A741" t="s">
        <v>72</v>
      </c>
      <c r="B741" t="s">
        <v>9826</v>
      </c>
      <c r="C741" t="s">
        <v>74</v>
      </c>
      <c r="D741" t="s">
        <v>74</v>
      </c>
      <c r="E741" t="s">
        <v>74</v>
      </c>
      <c r="F741" t="s">
        <v>9826</v>
      </c>
      <c r="G741" t="s">
        <v>74</v>
      </c>
      <c r="H741" t="s">
        <v>74</v>
      </c>
      <c r="I741" t="s">
        <v>9827</v>
      </c>
      <c r="J741" t="s">
        <v>9828</v>
      </c>
      <c r="K741" t="s">
        <v>74</v>
      </c>
      <c r="L741" t="s">
        <v>74</v>
      </c>
      <c r="M741" t="s">
        <v>77</v>
      </c>
      <c r="N741" t="s">
        <v>78</v>
      </c>
      <c r="O741" t="s">
        <v>74</v>
      </c>
      <c r="P741" t="s">
        <v>74</v>
      </c>
      <c r="Q741" t="s">
        <v>74</v>
      </c>
      <c r="R741" t="s">
        <v>74</v>
      </c>
      <c r="S741" t="s">
        <v>74</v>
      </c>
      <c r="T741" t="s">
        <v>9829</v>
      </c>
      <c r="U741" t="s">
        <v>9830</v>
      </c>
      <c r="V741" t="s">
        <v>9831</v>
      </c>
      <c r="W741" t="s">
        <v>9832</v>
      </c>
      <c r="X741" t="s">
        <v>9833</v>
      </c>
      <c r="Y741" t="s">
        <v>9834</v>
      </c>
      <c r="Z741" t="s">
        <v>74</v>
      </c>
      <c r="AA741" t="s">
        <v>74</v>
      </c>
      <c r="AB741" t="s">
        <v>74</v>
      </c>
      <c r="AC741" t="s">
        <v>74</v>
      </c>
      <c r="AD741" t="s">
        <v>74</v>
      </c>
      <c r="AE741" t="s">
        <v>74</v>
      </c>
      <c r="AF741" t="s">
        <v>74</v>
      </c>
      <c r="AG741">
        <v>24</v>
      </c>
      <c r="AH741">
        <v>25</v>
      </c>
      <c r="AI741">
        <v>28</v>
      </c>
      <c r="AJ741">
        <v>0</v>
      </c>
      <c r="AK741">
        <v>2</v>
      </c>
      <c r="AL741" t="s">
        <v>1120</v>
      </c>
      <c r="AM741" t="s">
        <v>1121</v>
      </c>
      <c r="AN741" t="s">
        <v>2394</v>
      </c>
      <c r="AO741" t="s">
        <v>9835</v>
      </c>
      <c r="AP741" t="s">
        <v>74</v>
      </c>
      <c r="AQ741" t="s">
        <v>74</v>
      </c>
      <c r="AR741" t="s">
        <v>9836</v>
      </c>
      <c r="AS741" t="s">
        <v>9837</v>
      </c>
      <c r="AT741" t="s">
        <v>9645</v>
      </c>
      <c r="AU741">
        <v>2000</v>
      </c>
      <c r="AV741">
        <v>14</v>
      </c>
      <c r="AW741">
        <v>1</v>
      </c>
      <c r="AX741" t="s">
        <v>74</v>
      </c>
      <c r="AY741" t="s">
        <v>74</v>
      </c>
      <c r="AZ741" t="s">
        <v>74</v>
      </c>
      <c r="BA741" t="s">
        <v>74</v>
      </c>
      <c r="BB741">
        <v>1</v>
      </c>
      <c r="BC741">
        <v>6</v>
      </c>
      <c r="BD741" t="s">
        <v>74</v>
      </c>
      <c r="BE741" t="s">
        <v>9838</v>
      </c>
      <c r="BF741" t="str">
        <f>HYPERLINK("http://dx.doi.org/10.1016/S0927-6505(00)00102-X","http://dx.doi.org/10.1016/S0927-6505(00)00102-X")</f>
        <v>http://dx.doi.org/10.1016/S0927-6505(00)00102-X</v>
      </c>
      <c r="BG741" t="s">
        <v>74</v>
      </c>
      <c r="BH741" t="s">
        <v>74</v>
      </c>
      <c r="BI741">
        <v>6</v>
      </c>
      <c r="BJ741" t="s">
        <v>8345</v>
      </c>
      <c r="BK741" t="s">
        <v>94</v>
      </c>
      <c r="BL741" t="s">
        <v>3957</v>
      </c>
      <c r="BM741" t="s">
        <v>9839</v>
      </c>
      <c r="BN741" t="s">
        <v>74</v>
      </c>
      <c r="BO741" t="s">
        <v>296</v>
      </c>
      <c r="BP741" t="s">
        <v>74</v>
      </c>
      <c r="BQ741" t="s">
        <v>74</v>
      </c>
      <c r="BR741" t="s">
        <v>97</v>
      </c>
      <c r="BS741" t="s">
        <v>9840</v>
      </c>
      <c r="BT741" t="str">
        <f>HYPERLINK("https%3A%2F%2Fwww.webofscience.com%2Fwos%2Fwoscc%2Ffull-record%2FWOS:000089307200001","View Full Record in Web of Science")</f>
        <v>View Full Record in Web of Science</v>
      </c>
    </row>
    <row r="742" spans="1:72" x14ac:dyDescent="0.15">
      <c r="A742" t="s">
        <v>72</v>
      </c>
      <c r="B742" t="s">
        <v>9841</v>
      </c>
      <c r="C742" t="s">
        <v>74</v>
      </c>
      <c r="D742" t="s">
        <v>74</v>
      </c>
      <c r="E742" t="s">
        <v>74</v>
      </c>
      <c r="F742" t="s">
        <v>9841</v>
      </c>
      <c r="G742" t="s">
        <v>74</v>
      </c>
      <c r="H742" t="s">
        <v>74</v>
      </c>
      <c r="I742" t="s">
        <v>9842</v>
      </c>
      <c r="J742" t="s">
        <v>9843</v>
      </c>
      <c r="K742" t="s">
        <v>74</v>
      </c>
      <c r="L742" t="s">
        <v>74</v>
      </c>
      <c r="M742" t="s">
        <v>77</v>
      </c>
      <c r="N742" t="s">
        <v>78</v>
      </c>
      <c r="O742" t="s">
        <v>74</v>
      </c>
      <c r="P742" t="s">
        <v>74</v>
      </c>
      <c r="Q742" t="s">
        <v>74</v>
      </c>
      <c r="R742" t="s">
        <v>74</v>
      </c>
      <c r="S742" t="s">
        <v>74</v>
      </c>
      <c r="T742" t="s">
        <v>9844</v>
      </c>
      <c r="U742" t="s">
        <v>9845</v>
      </c>
      <c r="V742" t="s">
        <v>9846</v>
      </c>
      <c r="W742" t="s">
        <v>9847</v>
      </c>
      <c r="X742" t="s">
        <v>9848</v>
      </c>
      <c r="Y742" t="s">
        <v>9849</v>
      </c>
      <c r="Z742" t="s">
        <v>74</v>
      </c>
      <c r="AA742" t="s">
        <v>9850</v>
      </c>
      <c r="AB742" t="s">
        <v>9851</v>
      </c>
      <c r="AC742" t="s">
        <v>74</v>
      </c>
      <c r="AD742" t="s">
        <v>74</v>
      </c>
      <c r="AE742" t="s">
        <v>74</v>
      </c>
      <c r="AF742" t="s">
        <v>74</v>
      </c>
      <c r="AG742">
        <v>17</v>
      </c>
      <c r="AH742">
        <v>9</v>
      </c>
      <c r="AI742">
        <v>9</v>
      </c>
      <c r="AJ742">
        <v>0</v>
      </c>
      <c r="AK742">
        <v>3</v>
      </c>
      <c r="AL742" t="s">
        <v>4286</v>
      </c>
      <c r="AM742" t="s">
        <v>160</v>
      </c>
      <c r="AN742" t="s">
        <v>4287</v>
      </c>
      <c r="AO742" t="s">
        <v>9852</v>
      </c>
      <c r="AP742" t="s">
        <v>74</v>
      </c>
      <c r="AQ742" t="s">
        <v>74</v>
      </c>
      <c r="AR742" t="s">
        <v>9853</v>
      </c>
      <c r="AS742" t="s">
        <v>9854</v>
      </c>
      <c r="AT742" t="s">
        <v>9645</v>
      </c>
      <c r="AU742">
        <v>2000</v>
      </c>
      <c r="AV742">
        <v>54</v>
      </c>
      <c r="AW742">
        <v>4</v>
      </c>
      <c r="AX742" t="s">
        <v>74</v>
      </c>
      <c r="AY742" t="s">
        <v>74</v>
      </c>
      <c r="AZ742" t="s">
        <v>74</v>
      </c>
      <c r="BA742" t="s">
        <v>74</v>
      </c>
      <c r="BB742">
        <v>245</v>
      </c>
      <c r="BC742">
        <v>261</v>
      </c>
      <c r="BD742" t="s">
        <v>74</v>
      </c>
      <c r="BE742" t="s">
        <v>9855</v>
      </c>
      <c r="BF742" t="str">
        <f>HYPERLINK("http://dx.doi.org/10.1016/S0169-8095(00)00047-8","http://dx.doi.org/10.1016/S0169-8095(00)00047-8")</f>
        <v>http://dx.doi.org/10.1016/S0169-8095(00)00047-8</v>
      </c>
      <c r="BG742" t="s">
        <v>74</v>
      </c>
      <c r="BH742" t="s">
        <v>74</v>
      </c>
      <c r="BI742">
        <v>17</v>
      </c>
      <c r="BJ742" t="s">
        <v>167</v>
      </c>
      <c r="BK742" t="s">
        <v>94</v>
      </c>
      <c r="BL742" t="s">
        <v>167</v>
      </c>
      <c r="BM742" t="s">
        <v>9856</v>
      </c>
      <c r="BN742" t="s">
        <v>74</v>
      </c>
      <c r="BO742" t="s">
        <v>74</v>
      </c>
      <c r="BP742" t="s">
        <v>74</v>
      </c>
      <c r="BQ742" t="s">
        <v>74</v>
      </c>
      <c r="BR742" t="s">
        <v>97</v>
      </c>
      <c r="BS742" t="s">
        <v>9857</v>
      </c>
      <c r="BT742" t="str">
        <f>HYPERLINK("https%3A%2F%2Fwww.webofscience.com%2Fwos%2Fwoscc%2Ffull-record%2FWOS:000088454200004","View Full Record in Web of Science")</f>
        <v>View Full Record in Web of Science</v>
      </c>
    </row>
    <row r="743" spans="1:72" x14ac:dyDescent="0.15">
      <c r="A743" t="s">
        <v>72</v>
      </c>
      <c r="B743" t="s">
        <v>9858</v>
      </c>
      <c r="C743" t="s">
        <v>74</v>
      </c>
      <c r="D743" t="s">
        <v>74</v>
      </c>
      <c r="E743" t="s">
        <v>74</v>
      </c>
      <c r="F743" t="s">
        <v>9858</v>
      </c>
      <c r="G743" t="s">
        <v>74</v>
      </c>
      <c r="H743" t="s">
        <v>74</v>
      </c>
      <c r="I743" t="s">
        <v>9859</v>
      </c>
      <c r="J743" t="s">
        <v>9860</v>
      </c>
      <c r="K743" t="s">
        <v>74</v>
      </c>
      <c r="L743" t="s">
        <v>74</v>
      </c>
      <c r="M743" t="s">
        <v>77</v>
      </c>
      <c r="N743" t="s">
        <v>78</v>
      </c>
      <c r="O743" t="s">
        <v>74</v>
      </c>
      <c r="P743" t="s">
        <v>74</v>
      </c>
      <c r="Q743" t="s">
        <v>74</v>
      </c>
      <c r="R743" t="s">
        <v>74</v>
      </c>
      <c r="S743" t="s">
        <v>74</v>
      </c>
      <c r="T743" t="s">
        <v>9861</v>
      </c>
      <c r="U743" t="s">
        <v>9862</v>
      </c>
      <c r="V743" t="s">
        <v>9863</v>
      </c>
      <c r="W743" t="s">
        <v>9864</v>
      </c>
      <c r="X743" t="s">
        <v>4563</v>
      </c>
      <c r="Y743" t="s">
        <v>9865</v>
      </c>
      <c r="Z743" t="s">
        <v>74</v>
      </c>
      <c r="AA743" t="s">
        <v>9866</v>
      </c>
      <c r="AB743" t="s">
        <v>9867</v>
      </c>
      <c r="AC743" t="s">
        <v>74</v>
      </c>
      <c r="AD743" t="s">
        <v>74</v>
      </c>
      <c r="AE743" t="s">
        <v>74</v>
      </c>
      <c r="AF743" t="s">
        <v>74</v>
      </c>
      <c r="AG743">
        <v>32</v>
      </c>
      <c r="AH743">
        <v>24</v>
      </c>
      <c r="AI743">
        <v>29</v>
      </c>
      <c r="AJ743">
        <v>0</v>
      </c>
      <c r="AK743">
        <v>11</v>
      </c>
      <c r="AL743" t="s">
        <v>5212</v>
      </c>
      <c r="AM743" t="s">
        <v>5213</v>
      </c>
      <c r="AN743" t="s">
        <v>5214</v>
      </c>
      <c r="AO743" t="s">
        <v>9868</v>
      </c>
      <c r="AP743" t="s">
        <v>74</v>
      </c>
      <c r="AQ743" t="s">
        <v>74</v>
      </c>
      <c r="AR743" t="s">
        <v>9869</v>
      </c>
      <c r="AS743" t="s">
        <v>9870</v>
      </c>
      <c r="AT743" t="s">
        <v>9645</v>
      </c>
      <c r="AU743">
        <v>2000</v>
      </c>
      <c r="AV743">
        <v>25</v>
      </c>
      <c r="AW743">
        <v>4</v>
      </c>
      <c r="AX743" t="s">
        <v>74</v>
      </c>
      <c r="AY743" t="s">
        <v>74</v>
      </c>
      <c r="AZ743" t="s">
        <v>74</v>
      </c>
      <c r="BA743" t="s">
        <v>74</v>
      </c>
      <c r="BB743">
        <v>386</v>
      </c>
      <c r="BC743">
        <v>393</v>
      </c>
      <c r="BD743" t="s">
        <v>74</v>
      </c>
      <c r="BE743" t="s">
        <v>9871</v>
      </c>
      <c r="BF743" t="str">
        <f>HYPERLINK("http://dx.doi.org/10.1046/j.1442-9993.2000.01048.x","http://dx.doi.org/10.1046/j.1442-9993.2000.01048.x")</f>
        <v>http://dx.doi.org/10.1046/j.1442-9993.2000.01048.x</v>
      </c>
      <c r="BG743" t="s">
        <v>74</v>
      </c>
      <c r="BH743" t="s">
        <v>74</v>
      </c>
      <c r="BI743">
        <v>8</v>
      </c>
      <c r="BJ743" t="s">
        <v>5913</v>
      </c>
      <c r="BK743" t="s">
        <v>94</v>
      </c>
      <c r="BL743" t="s">
        <v>114</v>
      </c>
      <c r="BM743" t="s">
        <v>9872</v>
      </c>
      <c r="BN743" t="s">
        <v>74</v>
      </c>
      <c r="BO743" t="s">
        <v>74</v>
      </c>
      <c r="BP743" t="s">
        <v>74</v>
      </c>
      <c r="BQ743" t="s">
        <v>74</v>
      </c>
      <c r="BR743" t="s">
        <v>97</v>
      </c>
      <c r="BS743" t="s">
        <v>9873</v>
      </c>
      <c r="BT743" t="str">
        <f>HYPERLINK("https%3A%2F%2Fwww.webofscience.com%2Fwos%2Fwoscc%2Ffull-record%2FWOS:000089156200013","View Full Record in Web of Science")</f>
        <v>View Full Record in Web of Science</v>
      </c>
    </row>
    <row r="744" spans="1:72" x14ac:dyDescent="0.15">
      <c r="A744" t="s">
        <v>72</v>
      </c>
      <c r="B744" t="s">
        <v>9874</v>
      </c>
      <c r="C744" t="s">
        <v>74</v>
      </c>
      <c r="D744" t="s">
        <v>74</v>
      </c>
      <c r="E744" t="s">
        <v>74</v>
      </c>
      <c r="F744" t="s">
        <v>9874</v>
      </c>
      <c r="G744" t="s">
        <v>74</v>
      </c>
      <c r="H744" t="s">
        <v>74</v>
      </c>
      <c r="I744" t="s">
        <v>9875</v>
      </c>
      <c r="J744" t="s">
        <v>9876</v>
      </c>
      <c r="K744" t="s">
        <v>74</v>
      </c>
      <c r="L744" t="s">
        <v>74</v>
      </c>
      <c r="M744" t="s">
        <v>77</v>
      </c>
      <c r="N744" t="s">
        <v>2208</v>
      </c>
      <c r="O744" t="s">
        <v>74</v>
      </c>
      <c r="P744" t="s">
        <v>74</v>
      </c>
      <c r="Q744" t="s">
        <v>74</v>
      </c>
      <c r="R744" t="s">
        <v>74</v>
      </c>
      <c r="S744" t="s">
        <v>74</v>
      </c>
      <c r="T744" t="s">
        <v>74</v>
      </c>
      <c r="U744" t="s">
        <v>74</v>
      </c>
      <c r="V744" t="s">
        <v>74</v>
      </c>
      <c r="W744" t="s">
        <v>74</v>
      </c>
      <c r="X744" t="s">
        <v>74</v>
      </c>
      <c r="Y744" t="s">
        <v>74</v>
      </c>
      <c r="Z744" t="s">
        <v>74</v>
      </c>
      <c r="AA744" t="s">
        <v>9877</v>
      </c>
      <c r="AB744" t="s">
        <v>9878</v>
      </c>
      <c r="AC744" t="s">
        <v>74</v>
      </c>
      <c r="AD744" t="s">
        <v>74</v>
      </c>
      <c r="AE744" t="s">
        <v>74</v>
      </c>
      <c r="AF744" t="s">
        <v>74</v>
      </c>
      <c r="AG744">
        <v>0</v>
      </c>
      <c r="AH744">
        <v>1</v>
      </c>
      <c r="AI744">
        <v>1</v>
      </c>
      <c r="AJ744">
        <v>0</v>
      </c>
      <c r="AK744">
        <v>0</v>
      </c>
      <c r="AL744" t="s">
        <v>9879</v>
      </c>
      <c r="AM744" t="s">
        <v>9880</v>
      </c>
      <c r="AN744" t="s">
        <v>9881</v>
      </c>
      <c r="AO744" t="s">
        <v>9882</v>
      </c>
      <c r="AP744" t="s">
        <v>74</v>
      </c>
      <c r="AQ744" t="s">
        <v>74</v>
      </c>
      <c r="AR744" t="s">
        <v>9883</v>
      </c>
      <c r="AS744" t="s">
        <v>9884</v>
      </c>
      <c r="AT744" t="s">
        <v>9645</v>
      </c>
      <c r="AU744">
        <v>2000</v>
      </c>
      <c r="AV744">
        <v>78</v>
      </c>
      <c r="AW744">
        <v>8</v>
      </c>
      <c r="AX744" t="s">
        <v>74</v>
      </c>
      <c r="AY744" t="s">
        <v>74</v>
      </c>
      <c r="AZ744" t="s">
        <v>74</v>
      </c>
      <c r="BA744" t="s">
        <v>74</v>
      </c>
      <c r="BB744">
        <v>525</v>
      </c>
      <c r="BC744">
        <v>526</v>
      </c>
      <c r="BD744" t="s">
        <v>74</v>
      </c>
      <c r="BE744" t="s">
        <v>74</v>
      </c>
      <c r="BF744" t="s">
        <v>74</v>
      </c>
      <c r="BG744" t="s">
        <v>74</v>
      </c>
      <c r="BH744" t="s">
        <v>74</v>
      </c>
      <c r="BI744">
        <v>2</v>
      </c>
      <c r="BJ744" t="s">
        <v>9885</v>
      </c>
      <c r="BK744" t="s">
        <v>94</v>
      </c>
      <c r="BL744" t="s">
        <v>9885</v>
      </c>
      <c r="BM744" t="s">
        <v>9886</v>
      </c>
      <c r="BN744">
        <v>10979504</v>
      </c>
      <c r="BO744" t="s">
        <v>74</v>
      </c>
      <c r="BP744" t="s">
        <v>74</v>
      </c>
      <c r="BQ744" t="s">
        <v>74</v>
      </c>
      <c r="BR744" t="s">
        <v>97</v>
      </c>
      <c r="BS744" t="s">
        <v>9887</v>
      </c>
      <c r="BT744" t="str">
        <f>HYPERLINK("https%3A%2F%2Fwww.webofscience.com%2Fwos%2Fwoscc%2Ffull-record%2FWOS:000088658700022","View Full Record in Web of Science")</f>
        <v>View Full Record in Web of Science</v>
      </c>
    </row>
    <row r="745" spans="1:72" x14ac:dyDescent="0.15">
      <c r="A745" t="s">
        <v>72</v>
      </c>
      <c r="B745" t="s">
        <v>9888</v>
      </c>
      <c r="C745" t="s">
        <v>74</v>
      </c>
      <c r="D745" t="s">
        <v>74</v>
      </c>
      <c r="E745" t="s">
        <v>74</v>
      </c>
      <c r="F745" t="s">
        <v>9888</v>
      </c>
      <c r="G745" t="s">
        <v>74</v>
      </c>
      <c r="H745" t="s">
        <v>74</v>
      </c>
      <c r="I745" t="s">
        <v>9889</v>
      </c>
      <c r="J745" t="s">
        <v>9890</v>
      </c>
      <c r="K745" t="s">
        <v>74</v>
      </c>
      <c r="L745" t="s">
        <v>74</v>
      </c>
      <c r="M745" t="s">
        <v>77</v>
      </c>
      <c r="N745" t="s">
        <v>78</v>
      </c>
      <c r="O745" t="s">
        <v>74</v>
      </c>
      <c r="P745" t="s">
        <v>74</v>
      </c>
      <c r="Q745" t="s">
        <v>74</v>
      </c>
      <c r="R745" t="s">
        <v>74</v>
      </c>
      <c r="S745" t="s">
        <v>74</v>
      </c>
      <c r="T745" t="s">
        <v>9891</v>
      </c>
      <c r="U745" t="s">
        <v>9892</v>
      </c>
      <c r="V745" t="s">
        <v>9893</v>
      </c>
      <c r="W745" t="s">
        <v>9894</v>
      </c>
      <c r="X745" t="s">
        <v>9895</v>
      </c>
      <c r="Y745" t="s">
        <v>9896</v>
      </c>
      <c r="Z745" t="s">
        <v>9897</v>
      </c>
      <c r="AA745" t="s">
        <v>9898</v>
      </c>
      <c r="AB745" t="s">
        <v>9899</v>
      </c>
      <c r="AC745" t="s">
        <v>74</v>
      </c>
      <c r="AD745" t="s">
        <v>74</v>
      </c>
      <c r="AE745" t="s">
        <v>74</v>
      </c>
      <c r="AF745" t="s">
        <v>74</v>
      </c>
      <c r="AG745">
        <v>76</v>
      </c>
      <c r="AH745">
        <v>68</v>
      </c>
      <c r="AI745">
        <v>82</v>
      </c>
      <c r="AJ745">
        <v>0</v>
      </c>
      <c r="AK745">
        <v>50</v>
      </c>
      <c r="AL745" t="s">
        <v>906</v>
      </c>
      <c r="AM745" t="s">
        <v>160</v>
      </c>
      <c r="AN745" t="s">
        <v>928</v>
      </c>
      <c r="AO745" t="s">
        <v>9900</v>
      </c>
      <c r="AP745" t="s">
        <v>9901</v>
      </c>
      <c r="AQ745" t="s">
        <v>74</v>
      </c>
      <c r="AR745" t="s">
        <v>9902</v>
      </c>
      <c r="AS745" t="s">
        <v>9903</v>
      </c>
      <c r="AT745" t="s">
        <v>9645</v>
      </c>
      <c r="AU745">
        <v>2000</v>
      </c>
      <c r="AV745">
        <v>48</v>
      </c>
      <c r="AW745">
        <v>3</v>
      </c>
      <c r="AX745" t="s">
        <v>74</v>
      </c>
      <c r="AY745" t="s">
        <v>74</v>
      </c>
      <c r="AZ745" t="s">
        <v>74</v>
      </c>
      <c r="BA745" t="s">
        <v>74</v>
      </c>
      <c r="BB745">
        <v>203</v>
      </c>
      <c r="BC745">
        <v>210</v>
      </c>
      <c r="BD745" t="s">
        <v>74</v>
      </c>
      <c r="BE745" t="s">
        <v>9904</v>
      </c>
      <c r="BF745" t="str">
        <f>HYPERLINK("http://dx.doi.org/10.1007/s002650000234","http://dx.doi.org/10.1007/s002650000234")</f>
        <v>http://dx.doi.org/10.1007/s002650000234</v>
      </c>
      <c r="BG745" t="s">
        <v>74</v>
      </c>
      <c r="BH745" t="s">
        <v>74</v>
      </c>
      <c r="BI745">
        <v>8</v>
      </c>
      <c r="BJ745" t="s">
        <v>9905</v>
      </c>
      <c r="BK745" t="s">
        <v>94</v>
      </c>
      <c r="BL745" t="s">
        <v>9906</v>
      </c>
      <c r="BM745" t="s">
        <v>9907</v>
      </c>
      <c r="BN745" t="s">
        <v>74</v>
      </c>
      <c r="BO745" t="s">
        <v>74</v>
      </c>
      <c r="BP745" t="s">
        <v>74</v>
      </c>
      <c r="BQ745" t="s">
        <v>74</v>
      </c>
      <c r="BR745" t="s">
        <v>97</v>
      </c>
      <c r="BS745" t="s">
        <v>9908</v>
      </c>
      <c r="BT745" t="str">
        <f>HYPERLINK("https%3A%2F%2Fwww.webofscience.com%2Fwos%2Fwoscc%2Ffull-record%2FWOS:000089199100005","View Full Record in Web of Science")</f>
        <v>View Full Record in Web of Science</v>
      </c>
    </row>
    <row r="746" spans="1:72" x14ac:dyDescent="0.15">
      <c r="A746" t="s">
        <v>72</v>
      </c>
      <c r="B746" t="s">
        <v>9909</v>
      </c>
      <c r="C746" t="s">
        <v>74</v>
      </c>
      <c r="D746" t="s">
        <v>74</v>
      </c>
      <c r="E746" t="s">
        <v>74</v>
      </c>
      <c r="F746" t="s">
        <v>9909</v>
      </c>
      <c r="G746" t="s">
        <v>74</v>
      </c>
      <c r="H746" t="s">
        <v>74</v>
      </c>
      <c r="I746" t="s">
        <v>9910</v>
      </c>
      <c r="J746" t="s">
        <v>9911</v>
      </c>
      <c r="K746" t="s">
        <v>74</v>
      </c>
      <c r="L746" t="s">
        <v>74</v>
      </c>
      <c r="M746" t="s">
        <v>77</v>
      </c>
      <c r="N746" t="s">
        <v>576</v>
      </c>
      <c r="O746" t="s">
        <v>9912</v>
      </c>
      <c r="P746" t="s">
        <v>9913</v>
      </c>
      <c r="Q746" t="s">
        <v>9914</v>
      </c>
      <c r="R746" t="s">
        <v>74</v>
      </c>
      <c r="S746" t="s">
        <v>74</v>
      </c>
      <c r="T746" t="s">
        <v>9915</v>
      </c>
      <c r="U746" t="s">
        <v>9916</v>
      </c>
      <c r="V746" t="s">
        <v>9917</v>
      </c>
      <c r="W746" t="s">
        <v>9918</v>
      </c>
      <c r="X746" t="s">
        <v>1931</v>
      </c>
      <c r="Y746" t="s">
        <v>9919</v>
      </c>
      <c r="Z746" t="s">
        <v>74</v>
      </c>
      <c r="AA746" t="s">
        <v>74</v>
      </c>
      <c r="AB746" t="s">
        <v>9920</v>
      </c>
      <c r="AC746" t="s">
        <v>74</v>
      </c>
      <c r="AD746" t="s">
        <v>74</v>
      </c>
      <c r="AE746" t="s">
        <v>74</v>
      </c>
      <c r="AF746" t="s">
        <v>74</v>
      </c>
      <c r="AG746">
        <v>33</v>
      </c>
      <c r="AH746">
        <v>21</v>
      </c>
      <c r="AI746">
        <v>21</v>
      </c>
      <c r="AJ746">
        <v>1</v>
      </c>
      <c r="AK746">
        <v>31</v>
      </c>
      <c r="AL746" t="s">
        <v>737</v>
      </c>
      <c r="AM746" t="s">
        <v>738</v>
      </c>
      <c r="AN746" t="s">
        <v>739</v>
      </c>
      <c r="AO746" t="s">
        <v>9921</v>
      </c>
      <c r="AP746" t="s">
        <v>74</v>
      </c>
      <c r="AQ746" t="s">
        <v>74</v>
      </c>
      <c r="AR746" t="s">
        <v>9922</v>
      </c>
      <c r="AS746" t="s">
        <v>9923</v>
      </c>
      <c r="AT746" t="s">
        <v>9645</v>
      </c>
      <c r="AU746">
        <v>2000</v>
      </c>
      <c r="AV746">
        <v>9</v>
      </c>
      <c r="AW746">
        <v>8</v>
      </c>
      <c r="AX746" t="s">
        <v>74</v>
      </c>
      <c r="AY746" t="s">
        <v>74</v>
      </c>
      <c r="AZ746" t="s">
        <v>74</v>
      </c>
      <c r="BA746" t="s">
        <v>74</v>
      </c>
      <c r="BB746">
        <v>1073</v>
      </c>
      <c r="BC746">
        <v>1083</v>
      </c>
      <c r="BD746" t="s">
        <v>74</v>
      </c>
      <c r="BE746" t="s">
        <v>9924</v>
      </c>
      <c r="BF746" t="str">
        <f>HYPERLINK("http://dx.doi.org/10.1023/A:1008974702634","http://dx.doi.org/10.1023/A:1008974702634")</f>
        <v>http://dx.doi.org/10.1023/A:1008974702634</v>
      </c>
      <c r="BG746" t="s">
        <v>74</v>
      </c>
      <c r="BH746" t="s">
        <v>74</v>
      </c>
      <c r="BI746">
        <v>11</v>
      </c>
      <c r="BJ746" t="s">
        <v>1102</v>
      </c>
      <c r="BK746" t="s">
        <v>596</v>
      </c>
      <c r="BL746" t="s">
        <v>1103</v>
      </c>
      <c r="BM746" t="s">
        <v>9925</v>
      </c>
      <c r="BN746" t="s">
        <v>74</v>
      </c>
      <c r="BO746" t="s">
        <v>74</v>
      </c>
      <c r="BP746" t="s">
        <v>74</v>
      </c>
      <c r="BQ746" t="s">
        <v>74</v>
      </c>
      <c r="BR746" t="s">
        <v>97</v>
      </c>
      <c r="BS746" t="s">
        <v>9926</v>
      </c>
      <c r="BT746" t="str">
        <f>HYPERLINK("https%3A%2F%2Fwww.webofscience.com%2Fwos%2Fwoscc%2Ffull-record%2FWOS:000088585200006","View Full Record in Web of Science")</f>
        <v>View Full Record in Web of Science</v>
      </c>
    </row>
    <row r="747" spans="1:72" x14ac:dyDescent="0.15">
      <c r="A747" t="s">
        <v>72</v>
      </c>
      <c r="B747" t="s">
        <v>9927</v>
      </c>
      <c r="C747" t="s">
        <v>74</v>
      </c>
      <c r="D747" t="s">
        <v>74</v>
      </c>
      <c r="E747" t="s">
        <v>74</v>
      </c>
      <c r="F747" t="s">
        <v>9927</v>
      </c>
      <c r="G747" t="s">
        <v>74</v>
      </c>
      <c r="H747" t="s">
        <v>74</v>
      </c>
      <c r="I747" t="s">
        <v>9928</v>
      </c>
      <c r="J747" t="s">
        <v>9929</v>
      </c>
      <c r="K747" t="s">
        <v>74</v>
      </c>
      <c r="L747" t="s">
        <v>74</v>
      </c>
      <c r="M747" t="s">
        <v>77</v>
      </c>
      <c r="N747" t="s">
        <v>78</v>
      </c>
      <c r="O747" t="s">
        <v>74</v>
      </c>
      <c r="P747" t="s">
        <v>74</v>
      </c>
      <c r="Q747" t="s">
        <v>74</v>
      </c>
      <c r="R747" t="s">
        <v>74</v>
      </c>
      <c r="S747" t="s">
        <v>74</v>
      </c>
      <c r="T747" t="s">
        <v>74</v>
      </c>
      <c r="U747" t="s">
        <v>9930</v>
      </c>
      <c r="V747" t="s">
        <v>9931</v>
      </c>
      <c r="W747" t="s">
        <v>9932</v>
      </c>
      <c r="X747" t="s">
        <v>9933</v>
      </c>
      <c r="Y747" t="s">
        <v>3201</v>
      </c>
      <c r="Z747" t="s">
        <v>74</v>
      </c>
      <c r="AA747" t="s">
        <v>9934</v>
      </c>
      <c r="AB747" t="s">
        <v>74</v>
      </c>
      <c r="AC747" t="s">
        <v>74</v>
      </c>
      <c r="AD747" t="s">
        <v>74</v>
      </c>
      <c r="AE747" t="s">
        <v>74</v>
      </c>
      <c r="AF747" t="s">
        <v>74</v>
      </c>
      <c r="AG747">
        <v>53</v>
      </c>
      <c r="AH747">
        <v>20</v>
      </c>
      <c r="AI747">
        <v>20</v>
      </c>
      <c r="AJ747">
        <v>0</v>
      </c>
      <c r="AK747">
        <v>4</v>
      </c>
      <c r="AL747" t="s">
        <v>9935</v>
      </c>
      <c r="AM747" t="s">
        <v>9936</v>
      </c>
      <c r="AN747" t="s">
        <v>9937</v>
      </c>
      <c r="AO747" t="s">
        <v>9938</v>
      </c>
      <c r="AP747" t="s">
        <v>74</v>
      </c>
      <c r="AQ747" t="s">
        <v>74</v>
      </c>
      <c r="AR747" t="s">
        <v>9939</v>
      </c>
      <c r="AS747" t="s">
        <v>9940</v>
      </c>
      <c r="AT747" t="s">
        <v>9645</v>
      </c>
      <c r="AU747">
        <v>2000</v>
      </c>
      <c r="AV747">
        <v>199</v>
      </c>
      <c r="AW747">
        <v>1</v>
      </c>
      <c r="AX747" t="s">
        <v>74</v>
      </c>
      <c r="AY747" t="s">
        <v>74</v>
      </c>
      <c r="AZ747" t="s">
        <v>74</v>
      </c>
      <c r="BA747" t="s">
        <v>74</v>
      </c>
      <c r="BB747">
        <v>85</v>
      </c>
      <c r="BC747">
        <v>94</v>
      </c>
      <c r="BD747" t="s">
        <v>74</v>
      </c>
      <c r="BE747" t="s">
        <v>9941</v>
      </c>
      <c r="BF747" t="str">
        <f>HYPERLINK("http://dx.doi.org/10.2307/1542710","http://dx.doi.org/10.2307/1542710")</f>
        <v>http://dx.doi.org/10.2307/1542710</v>
      </c>
      <c r="BG747" t="s">
        <v>74</v>
      </c>
      <c r="BH747" t="s">
        <v>74</v>
      </c>
      <c r="BI747">
        <v>10</v>
      </c>
      <c r="BJ747" t="s">
        <v>9942</v>
      </c>
      <c r="BK747" t="s">
        <v>94</v>
      </c>
      <c r="BL747" t="s">
        <v>9943</v>
      </c>
      <c r="BM747" t="s">
        <v>9944</v>
      </c>
      <c r="BN747">
        <v>10975646</v>
      </c>
      <c r="BO747" t="s">
        <v>296</v>
      </c>
      <c r="BP747" t="s">
        <v>74</v>
      </c>
      <c r="BQ747" t="s">
        <v>74</v>
      </c>
      <c r="BR747" t="s">
        <v>97</v>
      </c>
      <c r="BS747" t="s">
        <v>9945</v>
      </c>
      <c r="BT747" t="str">
        <f>HYPERLINK("https%3A%2F%2Fwww.webofscience.com%2Fwos%2Fwoscc%2Ffull-record%2FWOS:000088946500011","View Full Record in Web of Science")</f>
        <v>View Full Record in Web of Science</v>
      </c>
    </row>
    <row r="748" spans="1:72" x14ac:dyDescent="0.15">
      <c r="A748" t="s">
        <v>72</v>
      </c>
      <c r="B748" t="s">
        <v>9946</v>
      </c>
      <c r="C748" t="s">
        <v>74</v>
      </c>
      <c r="D748" t="s">
        <v>74</v>
      </c>
      <c r="E748" t="s">
        <v>74</v>
      </c>
      <c r="F748" t="s">
        <v>9946</v>
      </c>
      <c r="G748" t="s">
        <v>74</v>
      </c>
      <c r="H748" t="s">
        <v>74</v>
      </c>
      <c r="I748" t="s">
        <v>9947</v>
      </c>
      <c r="J748" t="s">
        <v>152</v>
      </c>
      <c r="K748" t="s">
        <v>74</v>
      </c>
      <c r="L748" t="s">
        <v>74</v>
      </c>
      <c r="M748" t="s">
        <v>77</v>
      </c>
      <c r="N748" t="s">
        <v>78</v>
      </c>
      <c r="O748" t="s">
        <v>74</v>
      </c>
      <c r="P748" t="s">
        <v>74</v>
      </c>
      <c r="Q748" t="s">
        <v>74</v>
      </c>
      <c r="R748" t="s">
        <v>74</v>
      </c>
      <c r="S748" t="s">
        <v>74</v>
      </c>
      <c r="T748" t="s">
        <v>74</v>
      </c>
      <c r="U748" t="s">
        <v>9948</v>
      </c>
      <c r="V748" t="s">
        <v>9949</v>
      </c>
      <c r="W748" t="s">
        <v>9950</v>
      </c>
      <c r="X748" t="s">
        <v>9951</v>
      </c>
      <c r="Y748" t="s">
        <v>9952</v>
      </c>
      <c r="Z748" t="s">
        <v>74</v>
      </c>
      <c r="AA748" t="s">
        <v>9953</v>
      </c>
      <c r="AB748" t="s">
        <v>9954</v>
      </c>
      <c r="AC748" t="s">
        <v>74</v>
      </c>
      <c r="AD748" t="s">
        <v>74</v>
      </c>
      <c r="AE748" t="s">
        <v>74</v>
      </c>
      <c r="AF748" t="s">
        <v>74</v>
      </c>
      <c r="AG748">
        <v>36</v>
      </c>
      <c r="AH748">
        <v>12</v>
      </c>
      <c r="AI748">
        <v>12</v>
      </c>
      <c r="AJ748">
        <v>0</v>
      </c>
      <c r="AK748">
        <v>6</v>
      </c>
      <c r="AL748" t="s">
        <v>159</v>
      </c>
      <c r="AM748" t="s">
        <v>160</v>
      </c>
      <c r="AN748" t="s">
        <v>161</v>
      </c>
      <c r="AO748" t="s">
        <v>162</v>
      </c>
      <c r="AP748" t="s">
        <v>74</v>
      </c>
      <c r="AQ748" t="s">
        <v>74</v>
      </c>
      <c r="AR748" t="s">
        <v>163</v>
      </c>
      <c r="AS748" t="s">
        <v>164</v>
      </c>
      <c r="AT748" t="s">
        <v>9645</v>
      </c>
      <c r="AU748">
        <v>2000</v>
      </c>
      <c r="AV748">
        <v>16</v>
      </c>
      <c r="AW748">
        <v>8</v>
      </c>
      <c r="AX748" t="s">
        <v>74</v>
      </c>
      <c r="AY748" t="s">
        <v>74</v>
      </c>
      <c r="AZ748" t="s">
        <v>74</v>
      </c>
      <c r="BA748" t="s">
        <v>74</v>
      </c>
      <c r="BB748">
        <v>603</v>
      </c>
      <c r="BC748">
        <v>610</v>
      </c>
      <c r="BD748" t="s">
        <v>74</v>
      </c>
      <c r="BE748" t="s">
        <v>9955</v>
      </c>
      <c r="BF748" t="str">
        <f>HYPERLINK("http://dx.doi.org/10.1007/s003820000070","http://dx.doi.org/10.1007/s003820000070")</f>
        <v>http://dx.doi.org/10.1007/s003820000070</v>
      </c>
      <c r="BG748" t="s">
        <v>74</v>
      </c>
      <c r="BH748" t="s">
        <v>74</v>
      </c>
      <c r="BI748">
        <v>8</v>
      </c>
      <c r="BJ748" t="s">
        <v>167</v>
      </c>
      <c r="BK748" t="s">
        <v>94</v>
      </c>
      <c r="BL748" t="s">
        <v>167</v>
      </c>
      <c r="BM748" t="s">
        <v>9956</v>
      </c>
      <c r="BN748" t="s">
        <v>74</v>
      </c>
      <c r="BO748" t="s">
        <v>74</v>
      </c>
      <c r="BP748" t="s">
        <v>74</v>
      </c>
      <c r="BQ748" t="s">
        <v>74</v>
      </c>
      <c r="BR748" t="s">
        <v>97</v>
      </c>
      <c r="BS748" t="s">
        <v>9957</v>
      </c>
      <c r="BT748" t="str">
        <f>HYPERLINK("https%3A%2F%2Fwww.webofscience.com%2Fwos%2Fwoscc%2Ffull-record%2FWOS:000088944000004","View Full Record in Web of Science")</f>
        <v>View Full Record in Web of Science</v>
      </c>
    </row>
    <row r="749" spans="1:72" x14ac:dyDescent="0.15">
      <c r="A749" t="s">
        <v>72</v>
      </c>
      <c r="B749" t="s">
        <v>9958</v>
      </c>
      <c r="C749" t="s">
        <v>74</v>
      </c>
      <c r="D749" t="s">
        <v>74</v>
      </c>
      <c r="E749" t="s">
        <v>74</v>
      </c>
      <c r="F749" t="s">
        <v>9958</v>
      </c>
      <c r="G749" t="s">
        <v>74</v>
      </c>
      <c r="H749" t="s">
        <v>74</v>
      </c>
      <c r="I749" t="s">
        <v>9959</v>
      </c>
      <c r="J749" t="s">
        <v>152</v>
      </c>
      <c r="K749" t="s">
        <v>74</v>
      </c>
      <c r="L749" t="s">
        <v>74</v>
      </c>
      <c r="M749" t="s">
        <v>77</v>
      </c>
      <c r="N749" t="s">
        <v>78</v>
      </c>
      <c r="O749" t="s">
        <v>74</v>
      </c>
      <c r="P749" t="s">
        <v>74</v>
      </c>
      <c r="Q749" t="s">
        <v>74</v>
      </c>
      <c r="R749" t="s">
        <v>74</v>
      </c>
      <c r="S749" t="s">
        <v>74</v>
      </c>
      <c r="T749" t="s">
        <v>74</v>
      </c>
      <c r="U749" t="s">
        <v>9960</v>
      </c>
      <c r="V749" t="s">
        <v>9961</v>
      </c>
      <c r="W749" t="s">
        <v>9962</v>
      </c>
      <c r="X749" t="s">
        <v>1080</v>
      </c>
      <c r="Y749" t="s">
        <v>9963</v>
      </c>
      <c r="Z749" t="s">
        <v>74</v>
      </c>
      <c r="AA749" t="s">
        <v>74</v>
      </c>
      <c r="AB749" t="s">
        <v>74</v>
      </c>
      <c r="AC749" t="s">
        <v>74</v>
      </c>
      <c r="AD749" t="s">
        <v>74</v>
      </c>
      <c r="AE749" t="s">
        <v>74</v>
      </c>
      <c r="AF749" t="s">
        <v>74</v>
      </c>
      <c r="AG749">
        <v>43</v>
      </c>
      <c r="AH749">
        <v>90</v>
      </c>
      <c r="AI749">
        <v>92</v>
      </c>
      <c r="AJ749">
        <v>1</v>
      </c>
      <c r="AK749">
        <v>13</v>
      </c>
      <c r="AL749" t="s">
        <v>159</v>
      </c>
      <c r="AM749" t="s">
        <v>160</v>
      </c>
      <c r="AN749" t="s">
        <v>161</v>
      </c>
      <c r="AO749" t="s">
        <v>162</v>
      </c>
      <c r="AP749" t="s">
        <v>74</v>
      </c>
      <c r="AQ749" t="s">
        <v>74</v>
      </c>
      <c r="AR749" t="s">
        <v>163</v>
      </c>
      <c r="AS749" t="s">
        <v>164</v>
      </c>
      <c r="AT749" t="s">
        <v>9645</v>
      </c>
      <c r="AU749">
        <v>2000</v>
      </c>
      <c r="AV749">
        <v>16</v>
      </c>
      <c r="AW749">
        <v>8</v>
      </c>
      <c r="AX749" t="s">
        <v>74</v>
      </c>
      <c r="AY749" t="s">
        <v>74</v>
      </c>
      <c r="AZ749" t="s">
        <v>74</v>
      </c>
      <c r="BA749" t="s">
        <v>74</v>
      </c>
      <c r="BB749">
        <v>627</v>
      </c>
      <c r="BC749">
        <v>642</v>
      </c>
      <c r="BD749" t="s">
        <v>74</v>
      </c>
      <c r="BE749" t="s">
        <v>9964</v>
      </c>
      <c r="BF749" t="str">
        <f>HYPERLINK("http://dx.doi.org/10.1007/s003820000066","http://dx.doi.org/10.1007/s003820000066")</f>
        <v>http://dx.doi.org/10.1007/s003820000066</v>
      </c>
      <c r="BG749" t="s">
        <v>74</v>
      </c>
      <c r="BH749" t="s">
        <v>74</v>
      </c>
      <c r="BI749">
        <v>16</v>
      </c>
      <c r="BJ749" t="s">
        <v>167</v>
      </c>
      <c r="BK749" t="s">
        <v>94</v>
      </c>
      <c r="BL749" t="s">
        <v>167</v>
      </c>
      <c r="BM749" t="s">
        <v>9956</v>
      </c>
      <c r="BN749" t="s">
        <v>74</v>
      </c>
      <c r="BO749" t="s">
        <v>74</v>
      </c>
      <c r="BP749" t="s">
        <v>74</v>
      </c>
      <c r="BQ749" t="s">
        <v>74</v>
      </c>
      <c r="BR749" t="s">
        <v>97</v>
      </c>
      <c r="BS749" t="s">
        <v>9965</v>
      </c>
      <c r="BT749" t="str">
        <f>HYPERLINK("https%3A%2F%2Fwww.webofscience.com%2Fwos%2Fwoscc%2Ffull-record%2FWOS:000088944000006","View Full Record in Web of Science")</f>
        <v>View Full Record in Web of Science</v>
      </c>
    </row>
    <row r="750" spans="1:72" x14ac:dyDescent="0.15">
      <c r="A750" t="s">
        <v>72</v>
      </c>
      <c r="B750" t="s">
        <v>9966</v>
      </c>
      <c r="C750" t="s">
        <v>74</v>
      </c>
      <c r="D750" t="s">
        <v>74</v>
      </c>
      <c r="E750" t="s">
        <v>74</v>
      </c>
      <c r="F750" t="s">
        <v>9966</v>
      </c>
      <c r="G750" t="s">
        <v>74</v>
      </c>
      <c r="H750" t="s">
        <v>74</v>
      </c>
      <c r="I750" t="s">
        <v>9967</v>
      </c>
      <c r="J750" t="s">
        <v>5266</v>
      </c>
      <c r="K750" t="s">
        <v>74</v>
      </c>
      <c r="L750" t="s">
        <v>74</v>
      </c>
      <c r="M750" t="s">
        <v>77</v>
      </c>
      <c r="N750" t="s">
        <v>78</v>
      </c>
      <c r="O750" t="s">
        <v>74</v>
      </c>
      <c r="P750" t="s">
        <v>74</v>
      </c>
      <c r="Q750" t="s">
        <v>74</v>
      </c>
      <c r="R750" t="s">
        <v>74</v>
      </c>
      <c r="S750" t="s">
        <v>74</v>
      </c>
      <c r="T750" t="s">
        <v>9968</v>
      </c>
      <c r="U750" t="s">
        <v>9969</v>
      </c>
      <c r="V750" t="s">
        <v>9970</v>
      </c>
      <c r="W750" t="s">
        <v>9971</v>
      </c>
      <c r="X750" t="s">
        <v>9972</v>
      </c>
      <c r="Y750" t="s">
        <v>9973</v>
      </c>
      <c r="Z750" t="s">
        <v>74</v>
      </c>
      <c r="AA750" t="s">
        <v>74</v>
      </c>
      <c r="AB750" t="s">
        <v>74</v>
      </c>
      <c r="AC750" t="s">
        <v>74</v>
      </c>
      <c r="AD750" t="s">
        <v>74</v>
      </c>
      <c r="AE750" t="s">
        <v>74</v>
      </c>
      <c r="AF750" t="s">
        <v>74</v>
      </c>
      <c r="AG750">
        <v>40</v>
      </c>
      <c r="AH750">
        <v>43</v>
      </c>
      <c r="AI750">
        <v>52</v>
      </c>
      <c r="AJ750">
        <v>1</v>
      </c>
      <c r="AK750">
        <v>7</v>
      </c>
      <c r="AL750" t="s">
        <v>245</v>
      </c>
      <c r="AM750" t="s">
        <v>246</v>
      </c>
      <c r="AN750" t="s">
        <v>247</v>
      </c>
      <c r="AO750" t="s">
        <v>9974</v>
      </c>
      <c r="AP750" t="s">
        <v>74</v>
      </c>
      <c r="AQ750" t="s">
        <v>74</v>
      </c>
      <c r="AR750" t="s">
        <v>5277</v>
      </c>
      <c r="AS750" t="s">
        <v>5278</v>
      </c>
      <c r="AT750" t="s">
        <v>9645</v>
      </c>
      <c r="AU750">
        <v>2000</v>
      </c>
      <c r="AV750">
        <v>126</v>
      </c>
      <c r="AW750">
        <v>4</v>
      </c>
      <c r="AX750" t="s">
        <v>74</v>
      </c>
      <c r="AY750" t="s">
        <v>74</v>
      </c>
      <c r="AZ750" t="s">
        <v>74</v>
      </c>
      <c r="BA750" t="s">
        <v>74</v>
      </c>
      <c r="BB750">
        <v>477</v>
      </c>
      <c r="BC750">
        <v>485</v>
      </c>
      <c r="BD750" t="s">
        <v>74</v>
      </c>
      <c r="BE750" t="s">
        <v>9975</v>
      </c>
      <c r="BF750" t="str">
        <f>HYPERLINK("http://dx.doi.org/10.1016/S0305-0491(00)00207-8","http://dx.doi.org/10.1016/S0305-0491(00)00207-8")</f>
        <v>http://dx.doi.org/10.1016/S0305-0491(00)00207-8</v>
      </c>
      <c r="BG750" t="s">
        <v>74</v>
      </c>
      <c r="BH750" t="s">
        <v>74</v>
      </c>
      <c r="BI750">
        <v>9</v>
      </c>
      <c r="BJ750" t="s">
        <v>5280</v>
      </c>
      <c r="BK750" t="s">
        <v>94</v>
      </c>
      <c r="BL750" t="s">
        <v>5280</v>
      </c>
      <c r="BM750" t="s">
        <v>9976</v>
      </c>
      <c r="BN750">
        <v>11026659</v>
      </c>
      <c r="BO750" t="s">
        <v>74</v>
      </c>
      <c r="BP750" t="s">
        <v>74</v>
      </c>
      <c r="BQ750" t="s">
        <v>74</v>
      </c>
      <c r="BR750" t="s">
        <v>97</v>
      </c>
      <c r="BS750" t="s">
        <v>9977</v>
      </c>
      <c r="BT750" t="str">
        <f>HYPERLINK("https%3A%2F%2Fwww.webofscience.com%2Fwos%2Fwoscc%2Ffull-record%2FWOS:000088662300002","View Full Record in Web of Science")</f>
        <v>View Full Record in Web of Science</v>
      </c>
    </row>
    <row r="751" spans="1:72" x14ac:dyDescent="0.15">
      <c r="A751" t="s">
        <v>72</v>
      </c>
      <c r="B751" t="s">
        <v>9978</v>
      </c>
      <c r="C751" t="s">
        <v>74</v>
      </c>
      <c r="D751" t="s">
        <v>74</v>
      </c>
      <c r="E751" t="s">
        <v>74</v>
      </c>
      <c r="F751" t="s">
        <v>9978</v>
      </c>
      <c r="G751" t="s">
        <v>74</v>
      </c>
      <c r="H751" t="s">
        <v>74</v>
      </c>
      <c r="I751" t="s">
        <v>9979</v>
      </c>
      <c r="J751" t="s">
        <v>9980</v>
      </c>
      <c r="K751" t="s">
        <v>74</v>
      </c>
      <c r="L751" t="s">
        <v>74</v>
      </c>
      <c r="M751" t="s">
        <v>77</v>
      </c>
      <c r="N751" t="s">
        <v>78</v>
      </c>
      <c r="O751" t="s">
        <v>74</v>
      </c>
      <c r="P751" t="s">
        <v>74</v>
      </c>
      <c r="Q751" t="s">
        <v>74</v>
      </c>
      <c r="R751" t="s">
        <v>74</v>
      </c>
      <c r="S751" t="s">
        <v>74</v>
      </c>
      <c r="T751" t="s">
        <v>9981</v>
      </c>
      <c r="U751" t="s">
        <v>74</v>
      </c>
      <c r="V751" t="s">
        <v>9982</v>
      </c>
      <c r="W751" t="s">
        <v>9983</v>
      </c>
      <c r="X751" t="s">
        <v>9984</v>
      </c>
      <c r="Y751" t="s">
        <v>9985</v>
      </c>
      <c r="Z751" t="s">
        <v>9986</v>
      </c>
      <c r="AA751" t="s">
        <v>9987</v>
      </c>
      <c r="AB751" t="s">
        <v>9988</v>
      </c>
      <c r="AC751" t="s">
        <v>74</v>
      </c>
      <c r="AD751" t="s">
        <v>74</v>
      </c>
      <c r="AE751" t="s">
        <v>74</v>
      </c>
      <c r="AF751" t="s">
        <v>74</v>
      </c>
      <c r="AG751">
        <v>56</v>
      </c>
      <c r="AH751">
        <v>78</v>
      </c>
      <c r="AI751">
        <v>79</v>
      </c>
      <c r="AJ751">
        <v>0</v>
      </c>
      <c r="AK751">
        <v>3</v>
      </c>
      <c r="AL751" t="s">
        <v>1899</v>
      </c>
      <c r="AM751" t="s">
        <v>1208</v>
      </c>
      <c r="AN751" t="s">
        <v>1900</v>
      </c>
      <c r="AO751" t="s">
        <v>9989</v>
      </c>
      <c r="AP751" t="s">
        <v>9990</v>
      </c>
      <c r="AQ751" t="s">
        <v>74</v>
      </c>
      <c r="AR751" t="s">
        <v>9991</v>
      </c>
      <c r="AS751" t="s">
        <v>9992</v>
      </c>
      <c r="AT751" t="s">
        <v>9645</v>
      </c>
      <c r="AU751">
        <v>2000</v>
      </c>
      <c r="AV751">
        <v>21</v>
      </c>
      <c r="AW751">
        <v>4</v>
      </c>
      <c r="AX751" t="s">
        <v>74</v>
      </c>
      <c r="AY751" t="s">
        <v>74</v>
      </c>
      <c r="AZ751" t="s">
        <v>74</v>
      </c>
      <c r="BA751" t="s">
        <v>74</v>
      </c>
      <c r="BB751">
        <v>479</v>
      </c>
      <c r="BC751">
        <v>505</v>
      </c>
      <c r="BD751" t="s">
        <v>74</v>
      </c>
      <c r="BE751" t="s">
        <v>9993</v>
      </c>
      <c r="BF751" t="str">
        <f>HYPERLINK("http://dx.doi.org/10.1006/cres.2000.0218","http://dx.doi.org/10.1006/cres.2000.0218")</f>
        <v>http://dx.doi.org/10.1006/cres.2000.0218</v>
      </c>
      <c r="BG751" t="s">
        <v>74</v>
      </c>
      <c r="BH751" t="s">
        <v>74</v>
      </c>
      <c r="BI751">
        <v>27</v>
      </c>
      <c r="BJ751" t="s">
        <v>4530</v>
      </c>
      <c r="BK751" t="s">
        <v>94</v>
      </c>
      <c r="BL751" t="s">
        <v>4530</v>
      </c>
      <c r="BM751" t="s">
        <v>9994</v>
      </c>
      <c r="BN751" t="s">
        <v>74</v>
      </c>
      <c r="BO751" t="s">
        <v>74</v>
      </c>
      <c r="BP751" t="s">
        <v>74</v>
      </c>
      <c r="BQ751" t="s">
        <v>74</v>
      </c>
      <c r="BR751" t="s">
        <v>97</v>
      </c>
      <c r="BS751" t="s">
        <v>9995</v>
      </c>
      <c r="BT751" t="str">
        <f>HYPERLINK("https%3A%2F%2Fwww.webofscience.com%2Fwos%2Fwoscc%2Ffull-record%2FWOS:000089559000003","View Full Record in Web of Science")</f>
        <v>View Full Record in Web of Science</v>
      </c>
    </row>
    <row r="752" spans="1:72" x14ac:dyDescent="0.15">
      <c r="A752" t="s">
        <v>72</v>
      </c>
      <c r="B752" t="s">
        <v>9996</v>
      </c>
      <c r="C752" t="s">
        <v>74</v>
      </c>
      <c r="D752" t="s">
        <v>74</v>
      </c>
      <c r="E752" t="s">
        <v>74</v>
      </c>
      <c r="F752" t="s">
        <v>9996</v>
      </c>
      <c r="G752" t="s">
        <v>74</v>
      </c>
      <c r="H752" t="s">
        <v>74</v>
      </c>
      <c r="I752" t="s">
        <v>9997</v>
      </c>
      <c r="J752" t="s">
        <v>9998</v>
      </c>
      <c r="K752" t="s">
        <v>74</v>
      </c>
      <c r="L752" t="s">
        <v>74</v>
      </c>
      <c r="M752" t="s">
        <v>77</v>
      </c>
      <c r="N752" t="s">
        <v>78</v>
      </c>
      <c r="O752" t="s">
        <v>74</v>
      </c>
      <c r="P752" t="s">
        <v>74</v>
      </c>
      <c r="Q752" t="s">
        <v>74</v>
      </c>
      <c r="R752" t="s">
        <v>74</v>
      </c>
      <c r="S752" t="s">
        <v>74</v>
      </c>
      <c r="T752" t="s">
        <v>74</v>
      </c>
      <c r="U752" t="s">
        <v>9999</v>
      </c>
      <c r="V752" t="s">
        <v>10000</v>
      </c>
      <c r="W752" t="s">
        <v>10001</v>
      </c>
      <c r="X752" t="s">
        <v>10002</v>
      </c>
      <c r="Y752" t="s">
        <v>10003</v>
      </c>
      <c r="Z752" t="s">
        <v>74</v>
      </c>
      <c r="AA752" t="s">
        <v>10004</v>
      </c>
      <c r="AB752" t="s">
        <v>10005</v>
      </c>
      <c r="AC752" t="s">
        <v>74</v>
      </c>
      <c r="AD752" t="s">
        <v>74</v>
      </c>
      <c r="AE752" t="s">
        <v>74</v>
      </c>
      <c r="AF752" t="s">
        <v>74</v>
      </c>
      <c r="AG752">
        <v>20</v>
      </c>
      <c r="AH752">
        <v>12</v>
      </c>
      <c r="AI752">
        <v>16</v>
      </c>
      <c r="AJ752">
        <v>1</v>
      </c>
      <c r="AK752">
        <v>10</v>
      </c>
      <c r="AL752" t="s">
        <v>10006</v>
      </c>
      <c r="AM752" t="s">
        <v>160</v>
      </c>
      <c r="AN752" t="s">
        <v>161</v>
      </c>
      <c r="AO752" t="s">
        <v>10007</v>
      </c>
      <c r="AP752" t="s">
        <v>74</v>
      </c>
      <c r="AQ752" t="s">
        <v>74</v>
      </c>
      <c r="AR752" t="s">
        <v>10008</v>
      </c>
      <c r="AS752" t="s">
        <v>10009</v>
      </c>
      <c r="AT752" t="s">
        <v>9645</v>
      </c>
      <c r="AU752">
        <v>2000</v>
      </c>
      <c r="AV752">
        <v>41</v>
      </c>
      <c r="AW752">
        <v>2</v>
      </c>
      <c r="AX752" t="s">
        <v>74</v>
      </c>
      <c r="AY752" t="s">
        <v>74</v>
      </c>
      <c r="AZ752" t="s">
        <v>74</v>
      </c>
      <c r="BA752" t="s">
        <v>74</v>
      </c>
      <c r="BB752">
        <v>79</v>
      </c>
      <c r="BC752">
        <v>83</v>
      </c>
      <c r="BD752" t="s">
        <v>74</v>
      </c>
      <c r="BE752" t="s">
        <v>10010</v>
      </c>
      <c r="BF752" t="str">
        <f>HYPERLINK("http://dx.doi.org/10.1007/s002840010097","http://dx.doi.org/10.1007/s002840010097")</f>
        <v>http://dx.doi.org/10.1007/s002840010097</v>
      </c>
      <c r="BG752" t="s">
        <v>74</v>
      </c>
      <c r="BH752" t="s">
        <v>74</v>
      </c>
      <c r="BI752">
        <v>5</v>
      </c>
      <c r="BJ752" t="s">
        <v>725</v>
      </c>
      <c r="BK752" t="s">
        <v>94</v>
      </c>
      <c r="BL752" t="s">
        <v>725</v>
      </c>
      <c r="BM752" t="s">
        <v>10011</v>
      </c>
      <c r="BN752">
        <v>10856370</v>
      </c>
      <c r="BO752" t="s">
        <v>74</v>
      </c>
      <c r="BP752" t="s">
        <v>74</v>
      </c>
      <c r="BQ752" t="s">
        <v>74</v>
      </c>
      <c r="BR752" t="s">
        <v>97</v>
      </c>
      <c r="BS752" t="s">
        <v>10012</v>
      </c>
      <c r="BT752" t="str">
        <f>HYPERLINK("https%3A%2F%2Fwww.webofscience.com%2Fwos%2Fwoscc%2Ffull-record%2FWOS:000087872400001","View Full Record in Web of Science")</f>
        <v>View Full Record in Web of Science</v>
      </c>
    </row>
    <row r="753" spans="1:72" x14ac:dyDescent="0.15">
      <c r="A753" t="s">
        <v>72</v>
      </c>
      <c r="B753" t="s">
        <v>10013</v>
      </c>
      <c r="C753" t="s">
        <v>74</v>
      </c>
      <c r="D753" t="s">
        <v>74</v>
      </c>
      <c r="E753" t="s">
        <v>74</v>
      </c>
      <c r="F753" t="s">
        <v>10013</v>
      </c>
      <c r="G753" t="s">
        <v>74</v>
      </c>
      <c r="H753" t="s">
        <v>74</v>
      </c>
      <c r="I753" t="s">
        <v>10014</v>
      </c>
      <c r="J753" t="s">
        <v>10015</v>
      </c>
      <c r="K753" t="s">
        <v>74</v>
      </c>
      <c r="L753" t="s">
        <v>74</v>
      </c>
      <c r="M753" t="s">
        <v>77</v>
      </c>
      <c r="N753" t="s">
        <v>78</v>
      </c>
      <c r="O753" t="s">
        <v>74</v>
      </c>
      <c r="P753" t="s">
        <v>74</v>
      </c>
      <c r="Q753" t="s">
        <v>74</v>
      </c>
      <c r="R753" t="s">
        <v>74</v>
      </c>
      <c r="S753" t="s">
        <v>74</v>
      </c>
      <c r="T753" t="s">
        <v>10016</v>
      </c>
      <c r="U753" t="s">
        <v>10017</v>
      </c>
      <c r="V753" t="s">
        <v>10018</v>
      </c>
      <c r="W753" t="s">
        <v>8625</v>
      </c>
      <c r="X753" t="s">
        <v>8626</v>
      </c>
      <c r="Y753" t="s">
        <v>8627</v>
      </c>
      <c r="Z753" t="s">
        <v>74</v>
      </c>
      <c r="AA753" t="s">
        <v>8628</v>
      </c>
      <c r="AB753" t="s">
        <v>8629</v>
      </c>
      <c r="AC753" t="s">
        <v>74</v>
      </c>
      <c r="AD753" t="s">
        <v>74</v>
      </c>
      <c r="AE753" t="s">
        <v>74</v>
      </c>
      <c r="AF753" t="s">
        <v>74</v>
      </c>
      <c r="AG753">
        <v>59</v>
      </c>
      <c r="AH753">
        <v>26</v>
      </c>
      <c r="AI753">
        <v>29</v>
      </c>
      <c r="AJ753">
        <v>0</v>
      </c>
      <c r="AK753">
        <v>32</v>
      </c>
      <c r="AL753" t="s">
        <v>1039</v>
      </c>
      <c r="AM753" t="s">
        <v>1040</v>
      </c>
      <c r="AN753" t="s">
        <v>1041</v>
      </c>
      <c r="AO753" t="s">
        <v>10019</v>
      </c>
      <c r="AP753" t="s">
        <v>10020</v>
      </c>
      <c r="AQ753" t="s">
        <v>74</v>
      </c>
      <c r="AR753" t="s">
        <v>10021</v>
      </c>
      <c r="AS753" t="s">
        <v>10022</v>
      </c>
      <c r="AT753" t="s">
        <v>9645</v>
      </c>
      <c r="AU753">
        <v>2000</v>
      </c>
      <c r="AV753">
        <v>35</v>
      </c>
      <c r="AW753">
        <v>3</v>
      </c>
      <c r="AX753" t="s">
        <v>74</v>
      </c>
      <c r="AY753" t="s">
        <v>74</v>
      </c>
      <c r="AZ753" t="s">
        <v>74</v>
      </c>
      <c r="BA753" t="s">
        <v>74</v>
      </c>
      <c r="BB753">
        <v>263</v>
      </c>
      <c r="BC753">
        <v>272</v>
      </c>
      <c r="BD753" t="s">
        <v>74</v>
      </c>
      <c r="BE753" t="s">
        <v>10023</v>
      </c>
      <c r="BF753" t="str">
        <f>HYPERLINK("http://dx.doi.org/10.1080/09670260010001735861","http://dx.doi.org/10.1080/09670260010001735861")</f>
        <v>http://dx.doi.org/10.1080/09670260010001735861</v>
      </c>
      <c r="BG753" t="s">
        <v>74</v>
      </c>
      <c r="BH753" t="s">
        <v>74</v>
      </c>
      <c r="BI753">
        <v>10</v>
      </c>
      <c r="BJ753" t="s">
        <v>190</v>
      </c>
      <c r="BK753" t="s">
        <v>94</v>
      </c>
      <c r="BL753" t="s">
        <v>190</v>
      </c>
      <c r="BM753" t="s">
        <v>10024</v>
      </c>
      <c r="BN753" t="s">
        <v>74</v>
      </c>
      <c r="BO753" t="s">
        <v>74</v>
      </c>
      <c r="BP753" t="s">
        <v>74</v>
      </c>
      <c r="BQ753" t="s">
        <v>74</v>
      </c>
      <c r="BR753" t="s">
        <v>97</v>
      </c>
      <c r="BS753" t="s">
        <v>10025</v>
      </c>
      <c r="BT753" t="str">
        <f>HYPERLINK("https%3A%2F%2Fwww.webofscience.com%2Fwos%2Fwoscc%2Ffull-record%2FWOS:000165117300006","View Full Record in Web of Science")</f>
        <v>View Full Record in Web of Science</v>
      </c>
    </row>
    <row r="754" spans="1:72" x14ac:dyDescent="0.15">
      <c r="A754" t="s">
        <v>72</v>
      </c>
      <c r="B754" t="s">
        <v>10026</v>
      </c>
      <c r="C754" t="s">
        <v>74</v>
      </c>
      <c r="D754" t="s">
        <v>74</v>
      </c>
      <c r="E754" t="s">
        <v>74</v>
      </c>
      <c r="F754" t="s">
        <v>10026</v>
      </c>
      <c r="G754" t="s">
        <v>74</v>
      </c>
      <c r="H754" t="s">
        <v>74</v>
      </c>
      <c r="I754" t="s">
        <v>10027</v>
      </c>
      <c r="J754" t="s">
        <v>10015</v>
      </c>
      <c r="K754" t="s">
        <v>74</v>
      </c>
      <c r="L754" t="s">
        <v>74</v>
      </c>
      <c r="M754" t="s">
        <v>77</v>
      </c>
      <c r="N754" t="s">
        <v>78</v>
      </c>
      <c r="O754" t="s">
        <v>74</v>
      </c>
      <c r="P754" t="s">
        <v>74</v>
      </c>
      <c r="Q754" t="s">
        <v>74</v>
      </c>
      <c r="R754" t="s">
        <v>74</v>
      </c>
      <c r="S754" t="s">
        <v>74</v>
      </c>
      <c r="T754" t="s">
        <v>10028</v>
      </c>
      <c r="U754" t="s">
        <v>10029</v>
      </c>
      <c r="V754" t="s">
        <v>10030</v>
      </c>
      <c r="W754" t="s">
        <v>10031</v>
      </c>
      <c r="X754" t="s">
        <v>10032</v>
      </c>
      <c r="Y754" t="s">
        <v>10033</v>
      </c>
      <c r="Z754" t="s">
        <v>74</v>
      </c>
      <c r="AA754" t="s">
        <v>74</v>
      </c>
      <c r="AB754" t="s">
        <v>74</v>
      </c>
      <c r="AC754" t="s">
        <v>74</v>
      </c>
      <c r="AD754" t="s">
        <v>74</v>
      </c>
      <c r="AE754" t="s">
        <v>74</v>
      </c>
      <c r="AF754" t="s">
        <v>74</v>
      </c>
      <c r="AG754">
        <v>47</v>
      </c>
      <c r="AH754">
        <v>14</v>
      </c>
      <c r="AI754">
        <v>15</v>
      </c>
      <c r="AJ754">
        <v>0</v>
      </c>
      <c r="AK754">
        <v>11</v>
      </c>
      <c r="AL754" t="s">
        <v>108</v>
      </c>
      <c r="AM754" t="s">
        <v>160</v>
      </c>
      <c r="AN754" t="s">
        <v>5086</v>
      </c>
      <c r="AO754" t="s">
        <v>10019</v>
      </c>
      <c r="AP754" t="s">
        <v>74</v>
      </c>
      <c r="AQ754" t="s">
        <v>74</v>
      </c>
      <c r="AR754" t="s">
        <v>10021</v>
      </c>
      <c r="AS754" t="s">
        <v>10022</v>
      </c>
      <c r="AT754" t="s">
        <v>9645</v>
      </c>
      <c r="AU754">
        <v>2000</v>
      </c>
      <c r="AV754">
        <v>35</v>
      </c>
      <c r="AW754">
        <v>3</v>
      </c>
      <c r="AX754" t="s">
        <v>74</v>
      </c>
      <c r="AY754" t="s">
        <v>74</v>
      </c>
      <c r="AZ754" t="s">
        <v>74</v>
      </c>
      <c r="BA754" t="s">
        <v>74</v>
      </c>
      <c r="BB754">
        <v>295</v>
      </c>
      <c r="BC754">
        <v>303</v>
      </c>
      <c r="BD754" t="s">
        <v>74</v>
      </c>
      <c r="BE754" t="s">
        <v>10034</v>
      </c>
      <c r="BF754" t="str">
        <f>HYPERLINK("http://dx.doi.org/10.1080/09670260010001735891","http://dx.doi.org/10.1080/09670260010001735891")</f>
        <v>http://dx.doi.org/10.1080/09670260010001735891</v>
      </c>
      <c r="BG754" t="s">
        <v>74</v>
      </c>
      <c r="BH754" t="s">
        <v>74</v>
      </c>
      <c r="BI754">
        <v>9</v>
      </c>
      <c r="BJ754" t="s">
        <v>190</v>
      </c>
      <c r="BK754" t="s">
        <v>94</v>
      </c>
      <c r="BL754" t="s">
        <v>190</v>
      </c>
      <c r="BM754" t="s">
        <v>10024</v>
      </c>
      <c r="BN754" t="s">
        <v>74</v>
      </c>
      <c r="BO754" t="s">
        <v>1755</v>
      </c>
      <c r="BP754" t="s">
        <v>74</v>
      </c>
      <c r="BQ754" t="s">
        <v>74</v>
      </c>
      <c r="BR754" t="s">
        <v>97</v>
      </c>
      <c r="BS754" t="s">
        <v>10035</v>
      </c>
      <c r="BT754" t="str">
        <f>HYPERLINK("https%3A%2F%2Fwww.webofscience.com%2Fwos%2Fwoscc%2Ffull-record%2FWOS:000165117300009","View Full Record in Web of Science")</f>
        <v>View Full Record in Web of Science</v>
      </c>
    </row>
    <row r="755" spans="1:72" x14ac:dyDescent="0.15">
      <c r="A755" t="s">
        <v>72</v>
      </c>
      <c r="B755" t="s">
        <v>10036</v>
      </c>
      <c r="C755" t="s">
        <v>74</v>
      </c>
      <c r="D755" t="s">
        <v>74</v>
      </c>
      <c r="E755" t="s">
        <v>74</v>
      </c>
      <c r="F755" t="s">
        <v>10036</v>
      </c>
      <c r="G755" t="s">
        <v>74</v>
      </c>
      <c r="H755" t="s">
        <v>74</v>
      </c>
      <c r="I755" t="s">
        <v>10037</v>
      </c>
      <c r="J755" t="s">
        <v>5332</v>
      </c>
      <c r="K755" t="s">
        <v>74</v>
      </c>
      <c r="L755" t="s">
        <v>74</v>
      </c>
      <c r="M755" t="s">
        <v>77</v>
      </c>
      <c r="N755" t="s">
        <v>78</v>
      </c>
      <c r="O755" t="s">
        <v>74</v>
      </c>
      <c r="P755" t="s">
        <v>74</v>
      </c>
      <c r="Q755" t="s">
        <v>74</v>
      </c>
      <c r="R755" t="s">
        <v>74</v>
      </c>
      <c r="S755" t="s">
        <v>74</v>
      </c>
      <c r="T755" t="s">
        <v>10038</v>
      </c>
      <c r="U755" t="s">
        <v>10039</v>
      </c>
      <c r="V755" t="s">
        <v>10040</v>
      </c>
      <c r="W755" t="s">
        <v>10041</v>
      </c>
      <c r="X755" t="s">
        <v>10042</v>
      </c>
      <c r="Y755" t="s">
        <v>10043</v>
      </c>
      <c r="Z755" t="s">
        <v>10044</v>
      </c>
      <c r="AA755" t="s">
        <v>74</v>
      </c>
      <c r="AB755" t="s">
        <v>74</v>
      </c>
      <c r="AC755" t="s">
        <v>74</v>
      </c>
      <c r="AD755" t="s">
        <v>74</v>
      </c>
      <c r="AE755" t="s">
        <v>74</v>
      </c>
      <c r="AF755" t="s">
        <v>74</v>
      </c>
      <c r="AG755">
        <v>29</v>
      </c>
      <c r="AH755">
        <v>39</v>
      </c>
      <c r="AI755">
        <v>41</v>
      </c>
      <c r="AJ755">
        <v>0</v>
      </c>
      <c r="AK755">
        <v>9</v>
      </c>
      <c r="AL755" t="s">
        <v>5342</v>
      </c>
      <c r="AM755" t="s">
        <v>589</v>
      </c>
      <c r="AN755" t="s">
        <v>5343</v>
      </c>
      <c r="AO755" t="s">
        <v>5344</v>
      </c>
      <c r="AP755" t="s">
        <v>5345</v>
      </c>
      <c r="AQ755" t="s">
        <v>74</v>
      </c>
      <c r="AR755" t="s">
        <v>5332</v>
      </c>
      <c r="AS755" t="s">
        <v>5346</v>
      </c>
      <c r="AT755" t="s">
        <v>9645</v>
      </c>
      <c r="AU755">
        <v>2000</v>
      </c>
      <c r="AV755">
        <v>4</v>
      </c>
      <c r="AW755">
        <v>4</v>
      </c>
      <c r="AX755" t="s">
        <v>74</v>
      </c>
      <c r="AY755" t="s">
        <v>74</v>
      </c>
      <c r="AZ755" t="s">
        <v>74</v>
      </c>
      <c r="BA755" t="s">
        <v>74</v>
      </c>
      <c r="BB755">
        <v>227</v>
      </c>
      <c r="BC755">
        <v>235</v>
      </c>
      <c r="BD755" t="s">
        <v>74</v>
      </c>
      <c r="BE755" t="s">
        <v>10045</v>
      </c>
      <c r="BF755" t="str">
        <f>HYPERLINK("http://dx.doi.org/10.1007/s007920070024","http://dx.doi.org/10.1007/s007920070024")</f>
        <v>http://dx.doi.org/10.1007/s007920070024</v>
      </c>
      <c r="BG755" t="s">
        <v>74</v>
      </c>
      <c r="BH755" t="s">
        <v>74</v>
      </c>
      <c r="BI755">
        <v>9</v>
      </c>
      <c r="BJ755" t="s">
        <v>5348</v>
      </c>
      <c r="BK755" t="s">
        <v>94</v>
      </c>
      <c r="BL755" t="s">
        <v>5348</v>
      </c>
      <c r="BM755" t="s">
        <v>10046</v>
      </c>
      <c r="BN755">
        <v>10972191</v>
      </c>
      <c r="BO755" t="s">
        <v>74</v>
      </c>
      <c r="BP755" t="s">
        <v>74</v>
      </c>
      <c r="BQ755" t="s">
        <v>74</v>
      </c>
      <c r="BR755" t="s">
        <v>97</v>
      </c>
      <c r="BS755" t="s">
        <v>10047</v>
      </c>
      <c r="BT755" t="str">
        <f>HYPERLINK("https%3A%2F%2Fwww.webofscience.com%2Fwos%2Fwoscc%2Ffull-record%2FWOS:000088958600005","View Full Record in Web of Science")</f>
        <v>View Full Record in Web of Science</v>
      </c>
    </row>
    <row r="756" spans="1:72" x14ac:dyDescent="0.15">
      <c r="A756" t="s">
        <v>72</v>
      </c>
      <c r="B756" t="s">
        <v>10048</v>
      </c>
      <c r="C756" t="s">
        <v>74</v>
      </c>
      <c r="D756" t="s">
        <v>74</v>
      </c>
      <c r="E756" t="s">
        <v>74</v>
      </c>
      <c r="F756" t="s">
        <v>10048</v>
      </c>
      <c r="G756" t="s">
        <v>74</v>
      </c>
      <c r="H756" t="s">
        <v>74</v>
      </c>
      <c r="I756" t="s">
        <v>10049</v>
      </c>
      <c r="J756" t="s">
        <v>10050</v>
      </c>
      <c r="K756" t="s">
        <v>74</v>
      </c>
      <c r="L756" t="s">
        <v>74</v>
      </c>
      <c r="M756" t="s">
        <v>77</v>
      </c>
      <c r="N756" t="s">
        <v>78</v>
      </c>
      <c r="O756" t="s">
        <v>74</v>
      </c>
      <c r="P756" t="s">
        <v>74</v>
      </c>
      <c r="Q756" t="s">
        <v>74</v>
      </c>
      <c r="R756" t="s">
        <v>74</v>
      </c>
      <c r="S756" t="s">
        <v>74</v>
      </c>
      <c r="T756" t="s">
        <v>10051</v>
      </c>
      <c r="U756" t="s">
        <v>10052</v>
      </c>
      <c r="V756" t="s">
        <v>10053</v>
      </c>
      <c r="W756" t="s">
        <v>10054</v>
      </c>
      <c r="X756" t="s">
        <v>10055</v>
      </c>
      <c r="Y756" t="s">
        <v>10056</v>
      </c>
      <c r="Z756" t="s">
        <v>10057</v>
      </c>
      <c r="AA756" t="s">
        <v>74</v>
      </c>
      <c r="AB756" t="s">
        <v>7790</v>
      </c>
      <c r="AC756" t="s">
        <v>74</v>
      </c>
      <c r="AD756" t="s">
        <v>74</v>
      </c>
      <c r="AE756" t="s">
        <v>74</v>
      </c>
      <c r="AF756" t="s">
        <v>74</v>
      </c>
      <c r="AG756">
        <v>61</v>
      </c>
      <c r="AH756">
        <v>47</v>
      </c>
      <c r="AI756">
        <v>59</v>
      </c>
      <c r="AJ756">
        <v>1</v>
      </c>
      <c r="AK756">
        <v>17</v>
      </c>
      <c r="AL756" t="s">
        <v>813</v>
      </c>
      <c r="AM756" t="s">
        <v>814</v>
      </c>
      <c r="AN756" t="s">
        <v>815</v>
      </c>
      <c r="AO756" t="s">
        <v>10058</v>
      </c>
      <c r="AP756" t="s">
        <v>10059</v>
      </c>
      <c r="AQ756" t="s">
        <v>74</v>
      </c>
      <c r="AR756" t="s">
        <v>10060</v>
      </c>
      <c r="AS756" t="s">
        <v>10061</v>
      </c>
      <c r="AT756" t="s">
        <v>9645</v>
      </c>
      <c r="AU756">
        <v>2000</v>
      </c>
      <c r="AV756">
        <v>44</v>
      </c>
      <c r="AW756">
        <v>4</v>
      </c>
      <c r="AX756" t="s">
        <v>74</v>
      </c>
      <c r="AY756" t="s">
        <v>74</v>
      </c>
      <c r="AZ756" t="s">
        <v>74</v>
      </c>
      <c r="BA756" t="s">
        <v>74</v>
      </c>
      <c r="BB756">
        <v>649</v>
      </c>
      <c r="BC756">
        <v>661</v>
      </c>
      <c r="BD756" t="s">
        <v>74</v>
      </c>
      <c r="BE756" t="s">
        <v>10062</v>
      </c>
      <c r="BF756" t="str">
        <f>HYPERLINK("http://dx.doi.org/10.1046/j.1365-2427.2000.00612.x","http://dx.doi.org/10.1046/j.1365-2427.2000.00612.x")</f>
        <v>http://dx.doi.org/10.1046/j.1365-2427.2000.00612.x</v>
      </c>
      <c r="BG756" t="s">
        <v>74</v>
      </c>
      <c r="BH756" t="s">
        <v>74</v>
      </c>
      <c r="BI756">
        <v>13</v>
      </c>
      <c r="BJ756" t="s">
        <v>618</v>
      </c>
      <c r="BK756" t="s">
        <v>94</v>
      </c>
      <c r="BL756" t="s">
        <v>619</v>
      </c>
      <c r="BM756" t="s">
        <v>10063</v>
      </c>
      <c r="BN756" t="s">
        <v>74</v>
      </c>
      <c r="BO756" t="s">
        <v>74</v>
      </c>
      <c r="BP756" t="s">
        <v>74</v>
      </c>
      <c r="BQ756" t="s">
        <v>74</v>
      </c>
      <c r="BR756" t="s">
        <v>97</v>
      </c>
      <c r="BS756" t="s">
        <v>10064</v>
      </c>
      <c r="BT756" t="str">
        <f>HYPERLINK("https%3A%2F%2Fwww.webofscience.com%2Fwos%2Fwoscc%2Ffull-record%2FWOS:000089193400008","View Full Record in Web of Science")</f>
        <v>View Full Record in Web of Science</v>
      </c>
    </row>
    <row r="757" spans="1:72" x14ac:dyDescent="0.15">
      <c r="A757" t="s">
        <v>72</v>
      </c>
      <c r="B757" t="s">
        <v>10065</v>
      </c>
      <c r="C757" t="s">
        <v>74</v>
      </c>
      <c r="D757" t="s">
        <v>74</v>
      </c>
      <c r="E757" t="s">
        <v>74</v>
      </c>
      <c r="F757" t="s">
        <v>10065</v>
      </c>
      <c r="G757" t="s">
        <v>74</v>
      </c>
      <c r="H757" t="s">
        <v>74</v>
      </c>
      <c r="I757" t="s">
        <v>10066</v>
      </c>
      <c r="J757" t="s">
        <v>7626</v>
      </c>
      <c r="K757" t="s">
        <v>74</v>
      </c>
      <c r="L757" t="s">
        <v>74</v>
      </c>
      <c r="M757" t="s">
        <v>77</v>
      </c>
      <c r="N757" t="s">
        <v>78</v>
      </c>
      <c r="O757" t="s">
        <v>74</v>
      </c>
      <c r="P757" t="s">
        <v>74</v>
      </c>
      <c r="Q757" t="s">
        <v>74</v>
      </c>
      <c r="R757" t="s">
        <v>74</v>
      </c>
      <c r="S757" t="s">
        <v>74</v>
      </c>
      <c r="T757" t="s">
        <v>10067</v>
      </c>
      <c r="U757" t="s">
        <v>10068</v>
      </c>
      <c r="V757" t="s">
        <v>10069</v>
      </c>
      <c r="W757" t="s">
        <v>10070</v>
      </c>
      <c r="X757" t="s">
        <v>10071</v>
      </c>
      <c r="Y757" t="s">
        <v>10072</v>
      </c>
      <c r="Z757" t="s">
        <v>74</v>
      </c>
      <c r="AA757" t="s">
        <v>1097</v>
      </c>
      <c r="AB757" t="s">
        <v>74</v>
      </c>
      <c r="AC757" t="s">
        <v>74</v>
      </c>
      <c r="AD757" t="s">
        <v>74</v>
      </c>
      <c r="AE757" t="s">
        <v>74</v>
      </c>
      <c r="AF757" t="s">
        <v>74</v>
      </c>
      <c r="AG757">
        <v>41</v>
      </c>
      <c r="AH757">
        <v>80</v>
      </c>
      <c r="AI757">
        <v>90</v>
      </c>
      <c r="AJ757">
        <v>3</v>
      </c>
      <c r="AK757">
        <v>28</v>
      </c>
      <c r="AL757" t="s">
        <v>813</v>
      </c>
      <c r="AM757" t="s">
        <v>814</v>
      </c>
      <c r="AN757" t="s">
        <v>815</v>
      </c>
      <c r="AO757" t="s">
        <v>7630</v>
      </c>
      <c r="AP757" t="s">
        <v>7631</v>
      </c>
      <c r="AQ757" t="s">
        <v>74</v>
      </c>
      <c r="AR757" t="s">
        <v>7632</v>
      </c>
      <c r="AS757" t="s">
        <v>7633</v>
      </c>
      <c r="AT757" t="s">
        <v>9645</v>
      </c>
      <c r="AU757">
        <v>2000</v>
      </c>
      <c r="AV757">
        <v>14</v>
      </c>
      <c r="AW757">
        <v>4</v>
      </c>
      <c r="AX757" t="s">
        <v>74</v>
      </c>
      <c r="AY757" t="s">
        <v>74</v>
      </c>
      <c r="AZ757" t="s">
        <v>74</v>
      </c>
      <c r="BA757" t="s">
        <v>74</v>
      </c>
      <c r="BB757">
        <v>460</v>
      </c>
      <c r="BC757">
        <v>467</v>
      </c>
      <c r="BD757" t="s">
        <v>74</v>
      </c>
      <c r="BE757" t="s">
        <v>10073</v>
      </c>
      <c r="BF757" t="str">
        <f>HYPERLINK("http://dx.doi.org/10.1046/j.1365-2435.2000.00442.x","http://dx.doi.org/10.1046/j.1365-2435.2000.00442.x")</f>
        <v>http://dx.doi.org/10.1046/j.1365-2435.2000.00442.x</v>
      </c>
      <c r="BG757" t="s">
        <v>74</v>
      </c>
      <c r="BH757" t="s">
        <v>74</v>
      </c>
      <c r="BI757">
        <v>8</v>
      </c>
      <c r="BJ757" t="s">
        <v>5913</v>
      </c>
      <c r="BK757" t="s">
        <v>94</v>
      </c>
      <c r="BL757" t="s">
        <v>114</v>
      </c>
      <c r="BM757" t="s">
        <v>10074</v>
      </c>
      <c r="BN757" t="s">
        <v>74</v>
      </c>
      <c r="BO757" t="s">
        <v>74</v>
      </c>
      <c r="BP757" t="s">
        <v>74</v>
      </c>
      <c r="BQ757" t="s">
        <v>74</v>
      </c>
      <c r="BR757" t="s">
        <v>97</v>
      </c>
      <c r="BS757" t="s">
        <v>10075</v>
      </c>
      <c r="BT757" t="str">
        <f>HYPERLINK("https%3A%2F%2Fwww.webofscience.com%2Fwos%2Fwoscc%2Ffull-record%2FWOS:000089054800007","View Full Record in Web of Science")</f>
        <v>View Full Record in Web of Science</v>
      </c>
    </row>
    <row r="758" spans="1:72" x14ac:dyDescent="0.15">
      <c r="A758" t="s">
        <v>72</v>
      </c>
      <c r="B758" t="s">
        <v>10076</v>
      </c>
      <c r="C758" t="s">
        <v>74</v>
      </c>
      <c r="D758" t="s">
        <v>74</v>
      </c>
      <c r="E758" t="s">
        <v>74</v>
      </c>
      <c r="F758" t="s">
        <v>10076</v>
      </c>
      <c r="G758" t="s">
        <v>74</v>
      </c>
      <c r="H758" t="s">
        <v>74</v>
      </c>
      <c r="I758" t="s">
        <v>10077</v>
      </c>
      <c r="J758" t="s">
        <v>1053</v>
      </c>
      <c r="K758" t="s">
        <v>74</v>
      </c>
      <c r="L758" t="s">
        <v>74</v>
      </c>
      <c r="M758" t="s">
        <v>77</v>
      </c>
      <c r="N758" t="s">
        <v>78</v>
      </c>
      <c r="O758" t="s">
        <v>74</v>
      </c>
      <c r="P758" t="s">
        <v>74</v>
      </c>
      <c r="Q758" t="s">
        <v>74</v>
      </c>
      <c r="R758" t="s">
        <v>74</v>
      </c>
      <c r="S758" t="s">
        <v>74</v>
      </c>
      <c r="T758" t="s">
        <v>74</v>
      </c>
      <c r="U758" t="s">
        <v>10078</v>
      </c>
      <c r="V758" t="s">
        <v>10079</v>
      </c>
      <c r="W758" t="s">
        <v>10080</v>
      </c>
      <c r="X758" t="s">
        <v>10081</v>
      </c>
      <c r="Y758" t="s">
        <v>10082</v>
      </c>
      <c r="Z758" t="s">
        <v>74</v>
      </c>
      <c r="AA758" t="s">
        <v>10083</v>
      </c>
      <c r="AB758" t="s">
        <v>74</v>
      </c>
      <c r="AC758" t="s">
        <v>74</v>
      </c>
      <c r="AD758" t="s">
        <v>74</v>
      </c>
      <c r="AE758" t="s">
        <v>74</v>
      </c>
      <c r="AF758" t="s">
        <v>74</v>
      </c>
      <c r="AG758">
        <v>12</v>
      </c>
      <c r="AH758">
        <v>14</v>
      </c>
      <c r="AI758">
        <v>15</v>
      </c>
      <c r="AJ758">
        <v>0</v>
      </c>
      <c r="AK758">
        <v>2</v>
      </c>
      <c r="AL758" t="s">
        <v>1059</v>
      </c>
      <c r="AM758" t="s">
        <v>1060</v>
      </c>
      <c r="AN758" t="s">
        <v>1061</v>
      </c>
      <c r="AO758" t="s">
        <v>1062</v>
      </c>
      <c r="AP758" t="s">
        <v>74</v>
      </c>
      <c r="AQ758" t="s">
        <v>74</v>
      </c>
      <c r="AR758" t="s">
        <v>1063</v>
      </c>
      <c r="AS758" t="s">
        <v>1064</v>
      </c>
      <c r="AT758" t="s">
        <v>10084</v>
      </c>
      <c r="AU758">
        <v>2000</v>
      </c>
      <c r="AV758">
        <v>27</v>
      </c>
      <c r="AW758">
        <v>15</v>
      </c>
      <c r="AX758" t="s">
        <v>74</v>
      </c>
      <c r="AY758" t="s">
        <v>74</v>
      </c>
      <c r="AZ758" t="s">
        <v>74</v>
      </c>
      <c r="BA758" t="s">
        <v>74</v>
      </c>
      <c r="BB758">
        <v>2285</v>
      </c>
      <c r="BC758">
        <v>2288</v>
      </c>
      <c r="BD758" t="s">
        <v>74</v>
      </c>
      <c r="BE758" t="s">
        <v>10085</v>
      </c>
      <c r="BF758" t="str">
        <f>HYPERLINK("http://dx.doi.org/10.1029/1999GL011304","http://dx.doi.org/10.1029/1999GL011304")</f>
        <v>http://dx.doi.org/10.1029/1999GL011304</v>
      </c>
      <c r="BG758" t="s">
        <v>74</v>
      </c>
      <c r="BH758" t="s">
        <v>74</v>
      </c>
      <c r="BI758">
        <v>4</v>
      </c>
      <c r="BJ758" t="s">
        <v>595</v>
      </c>
      <c r="BK758" t="s">
        <v>94</v>
      </c>
      <c r="BL758" t="s">
        <v>597</v>
      </c>
      <c r="BM758" t="s">
        <v>10086</v>
      </c>
      <c r="BN758" t="s">
        <v>74</v>
      </c>
      <c r="BO758" t="s">
        <v>74</v>
      </c>
      <c r="BP758" t="s">
        <v>74</v>
      </c>
      <c r="BQ758" t="s">
        <v>74</v>
      </c>
      <c r="BR758" t="s">
        <v>97</v>
      </c>
      <c r="BS758" t="s">
        <v>10087</v>
      </c>
      <c r="BT758" t="str">
        <f>HYPERLINK("https%3A%2F%2Fwww.webofscience.com%2Fwos%2Fwoscc%2Ffull-record%2FWOS:000088587200029","View Full Record in Web of Science")</f>
        <v>View Full Record in Web of Science</v>
      </c>
    </row>
    <row r="759" spans="1:72" x14ac:dyDescent="0.15">
      <c r="A759" t="s">
        <v>72</v>
      </c>
      <c r="B759" t="s">
        <v>10088</v>
      </c>
      <c r="C759" t="s">
        <v>74</v>
      </c>
      <c r="D759" t="s">
        <v>74</v>
      </c>
      <c r="E759" t="s">
        <v>74</v>
      </c>
      <c r="F759" t="s">
        <v>10088</v>
      </c>
      <c r="G759" t="s">
        <v>74</v>
      </c>
      <c r="H759" t="s">
        <v>74</v>
      </c>
      <c r="I759" t="s">
        <v>10089</v>
      </c>
      <c r="J759" t="s">
        <v>1053</v>
      </c>
      <c r="K759" t="s">
        <v>74</v>
      </c>
      <c r="L759" t="s">
        <v>74</v>
      </c>
      <c r="M759" t="s">
        <v>77</v>
      </c>
      <c r="N759" t="s">
        <v>78</v>
      </c>
      <c r="O759" t="s">
        <v>74</v>
      </c>
      <c r="P759" t="s">
        <v>74</v>
      </c>
      <c r="Q759" t="s">
        <v>74</v>
      </c>
      <c r="R759" t="s">
        <v>74</v>
      </c>
      <c r="S759" t="s">
        <v>74</v>
      </c>
      <c r="T759" t="s">
        <v>74</v>
      </c>
      <c r="U759" t="s">
        <v>10090</v>
      </c>
      <c r="V759" t="s">
        <v>10091</v>
      </c>
      <c r="W759" t="s">
        <v>10092</v>
      </c>
      <c r="X759" t="s">
        <v>10093</v>
      </c>
      <c r="Y759" t="s">
        <v>10094</v>
      </c>
      <c r="Z759" t="s">
        <v>10095</v>
      </c>
      <c r="AA759" t="s">
        <v>74</v>
      </c>
      <c r="AB759" t="s">
        <v>10096</v>
      </c>
      <c r="AC759" t="s">
        <v>74</v>
      </c>
      <c r="AD759" t="s">
        <v>74</v>
      </c>
      <c r="AE759" t="s">
        <v>74</v>
      </c>
      <c r="AF759" t="s">
        <v>74</v>
      </c>
      <c r="AG759">
        <v>20</v>
      </c>
      <c r="AH759">
        <v>17</v>
      </c>
      <c r="AI759">
        <v>17</v>
      </c>
      <c r="AJ759">
        <v>0</v>
      </c>
      <c r="AK759">
        <v>3</v>
      </c>
      <c r="AL759" t="s">
        <v>1059</v>
      </c>
      <c r="AM759" t="s">
        <v>1060</v>
      </c>
      <c r="AN759" t="s">
        <v>1061</v>
      </c>
      <c r="AO759" t="s">
        <v>1062</v>
      </c>
      <c r="AP759" t="s">
        <v>74</v>
      </c>
      <c r="AQ759" t="s">
        <v>74</v>
      </c>
      <c r="AR759" t="s">
        <v>1063</v>
      </c>
      <c r="AS759" t="s">
        <v>1064</v>
      </c>
      <c r="AT759" t="s">
        <v>10084</v>
      </c>
      <c r="AU759">
        <v>2000</v>
      </c>
      <c r="AV759">
        <v>27</v>
      </c>
      <c r="AW759">
        <v>15</v>
      </c>
      <c r="AX759" t="s">
        <v>74</v>
      </c>
      <c r="AY759" t="s">
        <v>74</v>
      </c>
      <c r="AZ759" t="s">
        <v>74</v>
      </c>
      <c r="BA759" t="s">
        <v>74</v>
      </c>
      <c r="BB759">
        <v>2297</v>
      </c>
      <c r="BC759">
        <v>2300</v>
      </c>
      <c r="BD759" t="s">
        <v>74</v>
      </c>
      <c r="BE759" t="s">
        <v>10097</v>
      </c>
      <c r="BF759" t="str">
        <f>HYPERLINK("http://dx.doi.org/10.1029/1999GL011188","http://dx.doi.org/10.1029/1999GL011188")</f>
        <v>http://dx.doi.org/10.1029/1999GL011188</v>
      </c>
      <c r="BG759" t="s">
        <v>74</v>
      </c>
      <c r="BH759" t="s">
        <v>74</v>
      </c>
      <c r="BI759">
        <v>4</v>
      </c>
      <c r="BJ759" t="s">
        <v>595</v>
      </c>
      <c r="BK759" t="s">
        <v>94</v>
      </c>
      <c r="BL759" t="s">
        <v>597</v>
      </c>
      <c r="BM759" t="s">
        <v>10086</v>
      </c>
      <c r="BN759" t="s">
        <v>74</v>
      </c>
      <c r="BO759" t="s">
        <v>74</v>
      </c>
      <c r="BP759" t="s">
        <v>74</v>
      </c>
      <c r="BQ759" t="s">
        <v>74</v>
      </c>
      <c r="BR759" t="s">
        <v>97</v>
      </c>
      <c r="BS759" t="s">
        <v>10098</v>
      </c>
      <c r="BT759" t="str">
        <f>HYPERLINK("https%3A%2F%2Fwww.webofscience.com%2Fwos%2Fwoscc%2Ffull-record%2FWOS:000088587200032","View Full Record in Web of Science")</f>
        <v>View Full Record in Web of Science</v>
      </c>
    </row>
    <row r="760" spans="1:72" x14ac:dyDescent="0.15">
      <c r="A760" t="s">
        <v>72</v>
      </c>
      <c r="B760" t="s">
        <v>10099</v>
      </c>
      <c r="C760" t="s">
        <v>74</v>
      </c>
      <c r="D760" t="s">
        <v>74</v>
      </c>
      <c r="E760" t="s">
        <v>74</v>
      </c>
      <c r="F760" t="s">
        <v>10099</v>
      </c>
      <c r="G760" t="s">
        <v>74</v>
      </c>
      <c r="H760" t="s">
        <v>74</v>
      </c>
      <c r="I760" t="s">
        <v>10100</v>
      </c>
      <c r="J760" t="s">
        <v>1053</v>
      </c>
      <c r="K760" t="s">
        <v>74</v>
      </c>
      <c r="L760" t="s">
        <v>74</v>
      </c>
      <c r="M760" t="s">
        <v>77</v>
      </c>
      <c r="N760" t="s">
        <v>78</v>
      </c>
      <c r="O760" t="s">
        <v>74</v>
      </c>
      <c r="P760" t="s">
        <v>74</v>
      </c>
      <c r="Q760" t="s">
        <v>74</v>
      </c>
      <c r="R760" t="s">
        <v>74</v>
      </c>
      <c r="S760" t="s">
        <v>74</v>
      </c>
      <c r="T760" t="s">
        <v>74</v>
      </c>
      <c r="U760" t="s">
        <v>10101</v>
      </c>
      <c r="V760" t="s">
        <v>10102</v>
      </c>
      <c r="W760" t="s">
        <v>10103</v>
      </c>
      <c r="X760" t="s">
        <v>10104</v>
      </c>
      <c r="Y760" t="s">
        <v>10105</v>
      </c>
      <c r="Z760" t="s">
        <v>74</v>
      </c>
      <c r="AA760" t="s">
        <v>74</v>
      </c>
      <c r="AB760" t="s">
        <v>74</v>
      </c>
      <c r="AC760" t="s">
        <v>74</v>
      </c>
      <c r="AD760" t="s">
        <v>74</v>
      </c>
      <c r="AE760" t="s">
        <v>74</v>
      </c>
      <c r="AF760" t="s">
        <v>74</v>
      </c>
      <c r="AG760">
        <v>17</v>
      </c>
      <c r="AH760">
        <v>31</v>
      </c>
      <c r="AI760">
        <v>39</v>
      </c>
      <c r="AJ760">
        <v>0</v>
      </c>
      <c r="AK760">
        <v>2</v>
      </c>
      <c r="AL760" t="s">
        <v>1059</v>
      </c>
      <c r="AM760" t="s">
        <v>1060</v>
      </c>
      <c r="AN760" t="s">
        <v>1061</v>
      </c>
      <c r="AO760" t="s">
        <v>1062</v>
      </c>
      <c r="AP760" t="s">
        <v>74</v>
      </c>
      <c r="AQ760" t="s">
        <v>74</v>
      </c>
      <c r="AR760" t="s">
        <v>1063</v>
      </c>
      <c r="AS760" t="s">
        <v>1064</v>
      </c>
      <c r="AT760" t="s">
        <v>10084</v>
      </c>
      <c r="AU760">
        <v>2000</v>
      </c>
      <c r="AV760">
        <v>27</v>
      </c>
      <c r="AW760">
        <v>15</v>
      </c>
      <c r="AX760" t="s">
        <v>74</v>
      </c>
      <c r="AY760" t="s">
        <v>74</v>
      </c>
      <c r="AZ760" t="s">
        <v>74</v>
      </c>
      <c r="BA760" t="s">
        <v>74</v>
      </c>
      <c r="BB760">
        <v>2301</v>
      </c>
      <c r="BC760">
        <v>2304</v>
      </c>
      <c r="BD760" t="s">
        <v>74</v>
      </c>
      <c r="BE760" t="s">
        <v>10106</v>
      </c>
      <c r="BF760" t="str">
        <f>HYPERLINK("http://dx.doi.org/10.1029/1999GL011129","http://dx.doi.org/10.1029/1999GL011129")</f>
        <v>http://dx.doi.org/10.1029/1999GL011129</v>
      </c>
      <c r="BG760" t="s">
        <v>74</v>
      </c>
      <c r="BH760" t="s">
        <v>74</v>
      </c>
      <c r="BI760">
        <v>4</v>
      </c>
      <c r="BJ760" t="s">
        <v>595</v>
      </c>
      <c r="BK760" t="s">
        <v>94</v>
      </c>
      <c r="BL760" t="s">
        <v>597</v>
      </c>
      <c r="BM760" t="s">
        <v>10086</v>
      </c>
      <c r="BN760" t="s">
        <v>74</v>
      </c>
      <c r="BO760" t="s">
        <v>1755</v>
      </c>
      <c r="BP760" t="s">
        <v>74</v>
      </c>
      <c r="BQ760" t="s">
        <v>74</v>
      </c>
      <c r="BR760" t="s">
        <v>97</v>
      </c>
      <c r="BS760" t="s">
        <v>10107</v>
      </c>
      <c r="BT760" t="str">
        <f>HYPERLINK("https%3A%2F%2Fwww.webofscience.com%2Fwos%2Fwoscc%2Ffull-record%2FWOS:000088587200033","View Full Record in Web of Science")</f>
        <v>View Full Record in Web of Science</v>
      </c>
    </row>
    <row r="761" spans="1:72" x14ac:dyDescent="0.15">
      <c r="A761" t="s">
        <v>72</v>
      </c>
      <c r="B761" t="s">
        <v>10108</v>
      </c>
      <c r="C761" t="s">
        <v>74</v>
      </c>
      <c r="D761" t="s">
        <v>74</v>
      </c>
      <c r="E761" t="s">
        <v>74</v>
      </c>
      <c r="F761" t="s">
        <v>10108</v>
      </c>
      <c r="G761" t="s">
        <v>74</v>
      </c>
      <c r="H761" t="s">
        <v>74</v>
      </c>
      <c r="I761" t="s">
        <v>10109</v>
      </c>
      <c r="J761" t="s">
        <v>1053</v>
      </c>
      <c r="K761" t="s">
        <v>74</v>
      </c>
      <c r="L761" t="s">
        <v>74</v>
      </c>
      <c r="M761" t="s">
        <v>77</v>
      </c>
      <c r="N761" t="s">
        <v>78</v>
      </c>
      <c r="O761" t="s">
        <v>74</v>
      </c>
      <c r="P761" t="s">
        <v>74</v>
      </c>
      <c r="Q761" t="s">
        <v>74</v>
      </c>
      <c r="R761" t="s">
        <v>74</v>
      </c>
      <c r="S761" t="s">
        <v>74</v>
      </c>
      <c r="T761" t="s">
        <v>74</v>
      </c>
      <c r="U761" t="s">
        <v>10110</v>
      </c>
      <c r="V761" t="s">
        <v>10111</v>
      </c>
      <c r="W761" t="s">
        <v>10112</v>
      </c>
      <c r="X761" t="s">
        <v>10113</v>
      </c>
      <c r="Y761" t="s">
        <v>10114</v>
      </c>
      <c r="Z761" t="s">
        <v>10115</v>
      </c>
      <c r="AA761" t="s">
        <v>10116</v>
      </c>
      <c r="AB761" t="s">
        <v>10117</v>
      </c>
      <c r="AC761" t="s">
        <v>74</v>
      </c>
      <c r="AD761" t="s">
        <v>74</v>
      </c>
      <c r="AE761" t="s">
        <v>74</v>
      </c>
      <c r="AF761" t="s">
        <v>74</v>
      </c>
      <c r="AG761">
        <v>15</v>
      </c>
      <c r="AH761">
        <v>11</v>
      </c>
      <c r="AI761">
        <v>11</v>
      </c>
      <c r="AJ761">
        <v>0</v>
      </c>
      <c r="AK761">
        <v>0</v>
      </c>
      <c r="AL761" t="s">
        <v>1059</v>
      </c>
      <c r="AM761" t="s">
        <v>1060</v>
      </c>
      <c r="AN761" t="s">
        <v>1061</v>
      </c>
      <c r="AO761" t="s">
        <v>1062</v>
      </c>
      <c r="AP761" t="s">
        <v>6772</v>
      </c>
      <c r="AQ761" t="s">
        <v>74</v>
      </c>
      <c r="AR761" t="s">
        <v>1063</v>
      </c>
      <c r="AS761" t="s">
        <v>1064</v>
      </c>
      <c r="AT761" t="s">
        <v>10084</v>
      </c>
      <c r="AU761">
        <v>2000</v>
      </c>
      <c r="AV761">
        <v>27</v>
      </c>
      <c r="AW761">
        <v>15</v>
      </c>
      <c r="AX761" t="s">
        <v>74</v>
      </c>
      <c r="AY761" t="s">
        <v>74</v>
      </c>
      <c r="AZ761" t="s">
        <v>74</v>
      </c>
      <c r="BA761" t="s">
        <v>74</v>
      </c>
      <c r="BB761">
        <v>2305</v>
      </c>
      <c r="BC761">
        <v>2308</v>
      </c>
      <c r="BD761" t="s">
        <v>74</v>
      </c>
      <c r="BE761" t="s">
        <v>10118</v>
      </c>
      <c r="BF761" t="str">
        <f>HYPERLINK("http://dx.doi.org/10.1029/1999GL011186","http://dx.doi.org/10.1029/1999GL011186")</f>
        <v>http://dx.doi.org/10.1029/1999GL011186</v>
      </c>
      <c r="BG761" t="s">
        <v>74</v>
      </c>
      <c r="BH761" t="s">
        <v>74</v>
      </c>
      <c r="BI761">
        <v>4</v>
      </c>
      <c r="BJ761" t="s">
        <v>595</v>
      </c>
      <c r="BK761" t="s">
        <v>94</v>
      </c>
      <c r="BL761" t="s">
        <v>597</v>
      </c>
      <c r="BM761" t="s">
        <v>10086</v>
      </c>
      <c r="BN761" t="s">
        <v>74</v>
      </c>
      <c r="BO761" t="s">
        <v>74</v>
      </c>
      <c r="BP761" t="s">
        <v>74</v>
      </c>
      <c r="BQ761" t="s">
        <v>74</v>
      </c>
      <c r="BR761" t="s">
        <v>97</v>
      </c>
      <c r="BS761" t="s">
        <v>10119</v>
      </c>
      <c r="BT761" t="str">
        <f>HYPERLINK("https%3A%2F%2Fwww.webofscience.com%2Fwos%2Fwoscc%2Ffull-record%2FWOS:000088587200034","View Full Record in Web of Science")</f>
        <v>View Full Record in Web of Science</v>
      </c>
    </row>
    <row r="762" spans="1:72" x14ac:dyDescent="0.15">
      <c r="A762" t="s">
        <v>72</v>
      </c>
      <c r="B762" t="s">
        <v>10120</v>
      </c>
      <c r="C762" t="s">
        <v>74</v>
      </c>
      <c r="D762" t="s">
        <v>74</v>
      </c>
      <c r="E762" t="s">
        <v>74</v>
      </c>
      <c r="F762" t="s">
        <v>10120</v>
      </c>
      <c r="G762" t="s">
        <v>74</v>
      </c>
      <c r="H762" t="s">
        <v>74</v>
      </c>
      <c r="I762" t="s">
        <v>10121</v>
      </c>
      <c r="J762" t="s">
        <v>1053</v>
      </c>
      <c r="K762" t="s">
        <v>74</v>
      </c>
      <c r="L762" t="s">
        <v>74</v>
      </c>
      <c r="M762" t="s">
        <v>77</v>
      </c>
      <c r="N762" t="s">
        <v>78</v>
      </c>
      <c r="O762" t="s">
        <v>74</v>
      </c>
      <c r="P762" t="s">
        <v>74</v>
      </c>
      <c r="Q762" t="s">
        <v>74</v>
      </c>
      <c r="R762" t="s">
        <v>74</v>
      </c>
      <c r="S762" t="s">
        <v>74</v>
      </c>
      <c r="T762" t="s">
        <v>74</v>
      </c>
      <c r="U762" t="s">
        <v>10122</v>
      </c>
      <c r="V762" t="s">
        <v>10123</v>
      </c>
      <c r="W762" t="s">
        <v>10124</v>
      </c>
      <c r="X762" t="s">
        <v>10125</v>
      </c>
      <c r="Y762" t="s">
        <v>10126</v>
      </c>
      <c r="Z762" t="s">
        <v>10127</v>
      </c>
      <c r="AA762" t="s">
        <v>10128</v>
      </c>
      <c r="AB762" t="s">
        <v>10129</v>
      </c>
      <c r="AC762" t="s">
        <v>74</v>
      </c>
      <c r="AD762" t="s">
        <v>74</v>
      </c>
      <c r="AE762" t="s">
        <v>74</v>
      </c>
      <c r="AF762" t="s">
        <v>74</v>
      </c>
      <c r="AG762">
        <v>24</v>
      </c>
      <c r="AH762">
        <v>9</v>
      </c>
      <c r="AI762">
        <v>9</v>
      </c>
      <c r="AJ762">
        <v>0</v>
      </c>
      <c r="AK762">
        <v>3</v>
      </c>
      <c r="AL762" t="s">
        <v>1059</v>
      </c>
      <c r="AM762" t="s">
        <v>1060</v>
      </c>
      <c r="AN762" t="s">
        <v>1061</v>
      </c>
      <c r="AO762" t="s">
        <v>1062</v>
      </c>
      <c r="AP762" t="s">
        <v>6772</v>
      </c>
      <c r="AQ762" t="s">
        <v>74</v>
      </c>
      <c r="AR762" t="s">
        <v>1063</v>
      </c>
      <c r="AS762" t="s">
        <v>1064</v>
      </c>
      <c r="AT762" t="s">
        <v>10084</v>
      </c>
      <c r="AU762">
        <v>2000</v>
      </c>
      <c r="AV762">
        <v>27</v>
      </c>
      <c r="AW762">
        <v>15</v>
      </c>
      <c r="AX762" t="s">
        <v>74</v>
      </c>
      <c r="AY762" t="s">
        <v>74</v>
      </c>
      <c r="AZ762" t="s">
        <v>74</v>
      </c>
      <c r="BA762" t="s">
        <v>74</v>
      </c>
      <c r="BB762">
        <v>2309</v>
      </c>
      <c r="BC762">
        <v>2312</v>
      </c>
      <c r="BD762" t="s">
        <v>74</v>
      </c>
      <c r="BE762" t="s">
        <v>10130</v>
      </c>
      <c r="BF762" t="str">
        <f>HYPERLINK("http://dx.doi.org/10.1029/1999GL011126","http://dx.doi.org/10.1029/1999GL011126")</f>
        <v>http://dx.doi.org/10.1029/1999GL011126</v>
      </c>
      <c r="BG762" t="s">
        <v>74</v>
      </c>
      <c r="BH762" t="s">
        <v>74</v>
      </c>
      <c r="BI762">
        <v>4</v>
      </c>
      <c r="BJ762" t="s">
        <v>595</v>
      </c>
      <c r="BK762" t="s">
        <v>94</v>
      </c>
      <c r="BL762" t="s">
        <v>597</v>
      </c>
      <c r="BM762" t="s">
        <v>10086</v>
      </c>
      <c r="BN762" t="s">
        <v>74</v>
      </c>
      <c r="BO762" t="s">
        <v>74</v>
      </c>
      <c r="BP762" t="s">
        <v>74</v>
      </c>
      <c r="BQ762" t="s">
        <v>74</v>
      </c>
      <c r="BR762" t="s">
        <v>97</v>
      </c>
      <c r="BS762" t="s">
        <v>10131</v>
      </c>
      <c r="BT762" t="str">
        <f>HYPERLINK("https%3A%2F%2Fwww.webofscience.com%2Fwos%2Fwoscc%2Ffull-record%2FWOS:000088587200035","View Full Record in Web of Science")</f>
        <v>View Full Record in Web of Science</v>
      </c>
    </row>
    <row r="763" spans="1:72" x14ac:dyDescent="0.15">
      <c r="A763" t="s">
        <v>72</v>
      </c>
      <c r="B763" t="s">
        <v>10132</v>
      </c>
      <c r="C763" t="s">
        <v>74</v>
      </c>
      <c r="D763" t="s">
        <v>74</v>
      </c>
      <c r="E763" t="s">
        <v>74</v>
      </c>
      <c r="F763" t="s">
        <v>10132</v>
      </c>
      <c r="G763" t="s">
        <v>74</v>
      </c>
      <c r="H763" t="s">
        <v>74</v>
      </c>
      <c r="I763" t="s">
        <v>10133</v>
      </c>
      <c r="J763" t="s">
        <v>10134</v>
      </c>
      <c r="K763" t="s">
        <v>74</v>
      </c>
      <c r="L763" t="s">
        <v>74</v>
      </c>
      <c r="M763" t="s">
        <v>77</v>
      </c>
      <c r="N763" t="s">
        <v>78</v>
      </c>
      <c r="O763" t="s">
        <v>74</v>
      </c>
      <c r="P763" t="s">
        <v>74</v>
      </c>
      <c r="Q763" t="s">
        <v>74</v>
      </c>
      <c r="R763" t="s">
        <v>74</v>
      </c>
      <c r="S763" t="s">
        <v>74</v>
      </c>
      <c r="T763" t="s">
        <v>10135</v>
      </c>
      <c r="U763" t="s">
        <v>10136</v>
      </c>
      <c r="V763" t="s">
        <v>10137</v>
      </c>
      <c r="W763" t="s">
        <v>10138</v>
      </c>
      <c r="X763" t="s">
        <v>10139</v>
      </c>
      <c r="Y763" t="s">
        <v>10140</v>
      </c>
      <c r="Z763" t="s">
        <v>10141</v>
      </c>
      <c r="AA763" t="s">
        <v>10142</v>
      </c>
      <c r="AB763" t="s">
        <v>10143</v>
      </c>
      <c r="AC763" t="s">
        <v>74</v>
      </c>
      <c r="AD763" t="s">
        <v>74</v>
      </c>
      <c r="AE763" t="s">
        <v>74</v>
      </c>
      <c r="AF763" t="s">
        <v>74</v>
      </c>
      <c r="AG763">
        <v>80</v>
      </c>
      <c r="AH763">
        <v>137</v>
      </c>
      <c r="AI763">
        <v>156</v>
      </c>
      <c r="AJ763">
        <v>0</v>
      </c>
      <c r="AK763">
        <v>33</v>
      </c>
      <c r="AL763" t="s">
        <v>1120</v>
      </c>
      <c r="AM763" t="s">
        <v>1121</v>
      </c>
      <c r="AN763" t="s">
        <v>2394</v>
      </c>
      <c r="AO763" t="s">
        <v>10144</v>
      </c>
      <c r="AP763" t="s">
        <v>10145</v>
      </c>
      <c r="AQ763" t="s">
        <v>74</v>
      </c>
      <c r="AR763" t="s">
        <v>10146</v>
      </c>
      <c r="AS763" t="s">
        <v>10147</v>
      </c>
      <c r="AT763" t="s">
        <v>9645</v>
      </c>
      <c r="AU763">
        <v>2000</v>
      </c>
      <c r="AV763">
        <v>25</v>
      </c>
      <c r="AW763" t="s">
        <v>1046</v>
      </c>
      <c r="AX763" t="s">
        <v>74</v>
      </c>
      <c r="AY763" t="s">
        <v>74</v>
      </c>
      <c r="AZ763" t="s">
        <v>74</v>
      </c>
      <c r="BA763" t="s">
        <v>74</v>
      </c>
      <c r="BB763">
        <v>239</v>
      </c>
      <c r="BC763">
        <v>256</v>
      </c>
      <c r="BD763" t="s">
        <v>74</v>
      </c>
      <c r="BE763" t="s">
        <v>10148</v>
      </c>
      <c r="BF763" t="str">
        <f>HYPERLINK("http://dx.doi.org/10.1016/S0921-8181(00)00028-X","http://dx.doi.org/10.1016/S0921-8181(00)00028-X")</f>
        <v>http://dx.doi.org/10.1016/S0921-8181(00)00028-X</v>
      </c>
      <c r="BG763" t="s">
        <v>74</v>
      </c>
      <c r="BH763" t="s">
        <v>74</v>
      </c>
      <c r="BI763">
        <v>18</v>
      </c>
      <c r="BJ763" t="s">
        <v>1214</v>
      </c>
      <c r="BK763" t="s">
        <v>94</v>
      </c>
      <c r="BL763" t="s">
        <v>1215</v>
      </c>
      <c r="BM763" t="s">
        <v>10149</v>
      </c>
      <c r="BN763" t="s">
        <v>74</v>
      </c>
      <c r="BO763" t="s">
        <v>74</v>
      </c>
      <c r="BP763" t="s">
        <v>74</v>
      </c>
      <c r="BQ763" t="s">
        <v>74</v>
      </c>
      <c r="BR763" t="s">
        <v>97</v>
      </c>
      <c r="BS763" t="s">
        <v>10150</v>
      </c>
      <c r="BT763" t="str">
        <f>HYPERLINK("https%3A%2F%2Fwww.webofscience.com%2Fwos%2Fwoscc%2Ffull-record%2FWOS:000088594700005","View Full Record in Web of Science")</f>
        <v>View Full Record in Web of Science</v>
      </c>
    </row>
    <row r="764" spans="1:72" x14ac:dyDescent="0.15">
      <c r="A764" t="s">
        <v>72</v>
      </c>
      <c r="B764" t="s">
        <v>10151</v>
      </c>
      <c r="C764" t="s">
        <v>74</v>
      </c>
      <c r="D764" t="s">
        <v>74</v>
      </c>
      <c r="E764" t="s">
        <v>74</v>
      </c>
      <c r="F764" t="s">
        <v>10151</v>
      </c>
      <c r="G764" t="s">
        <v>74</v>
      </c>
      <c r="H764" t="s">
        <v>74</v>
      </c>
      <c r="I764" t="s">
        <v>10152</v>
      </c>
      <c r="J764" t="s">
        <v>1245</v>
      </c>
      <c r="K764" t="s">
        <v>74</v>
      </c>
      <c r="L764" t="s">
        <v>74</v>
      </c>
      <c r="M764" t="s">
        <v>77</v>
      </c>
      <c r="N764" t="s">
        <v>78</v>
      </c>
      <c r="O764" t="s">
        <v>74</v>
      </c>
      <c r="P764" t="s">
        <v>74</v>
      </c>
      <c r="Q764" t="s">
        <v>74</v>
      </c>
      <c r="R764" t="s">
        <v>74</v>
      </c>
      <c r="S764" t="s">
        <v>74</v>
      </c>
      <c r="T764" t="s">
        <v>10153</v>
      </c>
      <c r="U764" t="s">
        <v>10154</v>
      </c>
      <c r="V764" t="s">
        <v>10155</v>
      </c>
      <c r="W764" t="s">
        <v>176</v>
      </c>
      <c r="X764" t="s">
        <v>177</v>
      </c>
      <c r="Y764" t="s">
        <v>10156</v>
      </c>
      <c r="Z764" t="s">
        <v>74</v>
      </c>
      <c r="AA764" t="s">
        <v>74</v>
      </c>
      <c r="AB764" t="s">
        <v>180</v>
      </c>
      <c r="AC764" t="s">
        <v>74</v>
      </c>
      <c r="AD764" t="s">
        <v>74</v>
      </c>
      <c r="AE764" t="s">
        <v>74</v>
      </c>
      <c r="AF764" t="s">
        <v>74</v>
      </c>
      <c r="AG764">
        <v>22</v>
      </c>
      <c r="AH764">
        <v>20</v>
      </c>
      <c r="AI764">
        <v>24</v>
      </c>
      <c r="AJ764">
        <v>0</v>
      </c>
      <c r="AK764">
        <v>5</v>
      </c>
      <c r="AL764" t="s">
        <v>906</v>
      </c>
      <c r="AM764" t="s">
        <v>738</v>
      </c>
      <c r="AN764" t="s">
        <v>1253</v>
      </c>
      <c r="AO764" t="s">
        <v>1254</v>
      </c>
      <c r="AP764" t="s">
        <v>1255</v>
      </c>
      <c r="AQ764" t="s">
        <v>74</v>
      </c>
      <c r="AR764" t="s">
        <v>1245</v>
      </c>
      <c r="AS764" t="s">
        <v>1256</v>
      </c>
      <c r="AT764" t="s">
        <v>9645</v>
      </c>
      <c r="AU764">
        <v>2000</v>
      </c>
      <c r="AV764">
        <v>432</v>
      </c>
      <c r="AW764" t="s">
        <v>1257</v>
      </c>
      <c r="AX764" t="s">
        <v>74</v>
      </c>
      <c r="AY764" t="s">
        <v>74</v>
      </c>
      <c r="AZ764" t="s">
        <v>74</v>
      </c>
      <c r="BA764" t="s">
        <v>74</v>
      </c>
      <c r="BB764">
        <v>65</v>
      </c>
      <c r="BC764">
        <v>72</v>
      </c>
      <c r="BD764" t="s">
        <v>74</v>
      </c>
      <c r="BE764" t="s">
        <v>10157</v>
      </c>
      <c r="BF764" t="str">
        <f>HYPERLINK("http://dx.doi.org/10.1023/A:1004045219437","http://dx.doi.org/10.1023/A:1004045219437")</f>
        <v>http://dx.doi.org/10.1023/A:1004045219437</v>
      </c>
      <c r="BG764" t="s">
        <v>74</v>
      </c>
      <c r="BH764" t="s">
        <v>74</v>
      </c>
      <c r="BI764">
        <v>8</v>
      </c>
      <c r="BJ764" t="s">
        <v>1259</v>
      </c>
      <c r="BK764" t="s">
        <v>94</v>
      </c>
      <c r="BL764" t="s">
        <v>1259</v>
      </c>
      <c r="BM764" t="s">
        <v>10158</v>
      </c>
      <c r="BN764" t="s">
        <v>74</v>
      </c>
      <c r="BO764" t="s">
        <v>1337</v>
      </c>
      <c r="BP764" t="s">
        <v>74</v>
      </c>
      <c r="BQ764" t="s">
        <v>74</v>
      </c>
      <c r="BR764" t="s">
        <v>97</v>
      </c>
      <c r="BS764" t="s">
        <v>10159</v>
      </c>
      <c r="BT764" t="str">
        <f>HYPERLINK("https%3A%2F%2Fwww.webofscience.com%2Fwos%2Fwoscc%2Ffull-record%2FWOS:000089348100007","View Full Record in Web of Science")</f>
        <v>View Full Record in Web of Science</v>
      </c>
    </row>
    <row r="765" spans="1:72" x14ac:dyDescent="0.15">
      <c r="A765" t="s">
        <v>72</v>
      </c>
      <c r="B765" t="s">
        <v>10160</v>
      </c>
      <c r="C765" t="s">
        <v>74</v>
      </c>
      <c r="D765" t="s">
        <v>74</v>
      </c>
      <c r="E765" t="s">
        <v>74</v>
      </c>
      <c r="F765" t="s">
        <v>10160</v>
      </c>
      <c r="G765" t="s">
        <v>74</v>
      </c>
      <c r="H765" t="s">
        <v>74</v>
      </c>
      <c r="I765" t="s">
        <v>10161</v>
      </c>
      <c r="J765" t="s">
        <v>10162</v>
      </c>
      <c r="K765" t="s">
        <v>74</v>
      </c>
      <c r="L765" t="s">
        <v>74</v>
      </c>
      <c r="M765" t="s">
        <v>77</v>
      </c>
      <c r="N765" t="s">
        <v>78</v>
      </c>
      <c r="O765" t="s">
        <v>74</v>
      </c>
      <c r="P765" t="s">
        <v>74</v>
      </c>
      <c r="Q765" t="s">
        <v>74</v>
      </c>
      <c r="R765" t="s">
        <v>74</v>
      </c>
      <c r="S765" t="s">
        <v>74</v>
      </c>
      <c r="T765" t="s">
        <v>10163</v>
      </c>
      <c r="U765" t="s">
        <v>10164</v>
      </c>
      <c r="V765" t="s">
        <v>10165</v>
      </c>
      <c r="W765" t="s">
        <v>10166</v>
      </c>
      <c r="X765" t="s">
        <v>1036</v>
      </c>
      <c r="Y765" t="s">
        <v>10167</v>
      </c>
      <c r="Z765" t="s">
        <v>74</v>
      </c>
      <c r="AA765" t="s">
        <v>10168</v>
      </c>
      <c r="AB765" t="s">
        <v>74</v>
      </c>
      <c r="AC765" t="s">
        <v>74</v>
      </c>
      <c r="AD765" t="s">
        <v>74</v>
      </c>
      <c r="AE765" t="s">
        <v>74</v>
      </c>
      <c r="AF765" t="s">
        <v>74</v>
      </c>
      <c r="AG765">
        <v>44</v>
      </c>
      <c r="AH765">
        <v>135</v>
      </c>
      <c r="AI765">
        <v>146</v>
      </c>
      <c r="AJ765">
        <v>0</v>
      </c>
      <c r="AK765">
        <v>28</v>
      </c>
      <c r="AL765" t="s">
        <v>5568</v>
      </c>
      <c r="AM765" t="s">
        <v>1208</v>
      </c>
      <c r="AN765" t="s">
        <v>1900</v>
      </c>
      <c r="AO765" t="s">
        <v>10169</v>
      </c>
      <c r="AP765" t="s">
        <v>74</v>
      </c>
      <c r="AQ765" t="s">
        <v>74</v>
      </c>
      <c r="AR765" t="s">
        <v>10170</v>
      </c>
      <c r="AS765" t="s">
        <v>10171</v>
      </c>
      <c r="AT765" t="s">
        <v>9645</v>
      </c>
      <c r="AU765">
        <v>2000</v>
      </c>
      <c r="AV765">
        <v>57</v>
      </c>
      <c r="AW765">
        <v>4</v>
      </c>
      <c r="AX765" t="s">
        <v>74</v>
      </c>
      <c r="AY765" t="s">
        <v>74</v>
      </c>
      <c r="AZ765" t="s">
        <v>74</v>
      </c>
      <c r="BA765" t="s">
        <v>74</v>
      </c>
      <c r="BB765">
        <v>793</v>
      </c>
      <c r="BC765">
        <v>807</v>
      </c>
      <c r="BD765" t="s">
        <v>74</v>
      </c>
      <c r="BE765" t="s">
        <v>10172</v>
      </c>
      <c r="BF765" t="str">
        <f>HYPERLINK("http://dx.doi.org/10.1006/jmsc.1999.0517","http://dx.doi.org/10.1006/jmsc.1999.0517")</f>
        <v>http://dx.doi.org/10.1006/jmsc.1999.0517</v>
      </c>
      <c r="BG765" t="s">
        <v>74</v>
      </c>
      <c r="BH765" t="s">
        <v>74</v>
      </c>
      <c r="BI765">
        <v>15</v>
      </c>
      <c r="BJ765" t="s">
        <v>2739</v>
      </c>
      <c r="BK765" t="s">
        <v>94</v>
      </c>
      <c r="BL765" t="s">
        <v>2739</v>
      </c>
      <c r="BM765" t="s">
        <v>10173</v>
      </c>
      <c r="BN765" t="s">
        <v>74</v>
      </c>
      <c r="BO765" t="s">
        <v>1755</v>
      </c>
      <c r="BP765" t="s">
        <v>74</v>
      </c>
      <c r="BQ765" t="s">
        <v>74</v>
      </c>
      <c r="BR765" t="s">
        <v>97</v>
      </c>
      <c r="BS765" t="s">
        <v>10174</v>
      </c>
      <c r="BT765" t="str">
        <f>HYPERLINK("https%3A%2F%2Fwww.webofscience.com%2Fwos%2Fwoscc%2Ffull-record%2FWOS:000089933800001","View Full Record in Web of Science")</f>
        <v>View Full Record in Web of Science</v>
      </c>
    </row>
    <row r="766" spans="1:72" x14ac:dyDescent="0.15">
      <c r="A766" t="s">
        <v>72</v>
      </c>
      <c r="B766" t="s">
        <v>10175</v>
      </c>
      <c r="C766" t="s">
        <v>74</v>
      </c>
      <c r="D766" t="s">
        <v>74</v>
      </c>
      <c r="E766" t="s">
        <v>74</v>
      </c>
      <c r="F766" t="s">
        <v>10175</v>
      </c>
      <c r="G766" t="s">
        <v>74</v>
      </c>
      <c r="H766" t="s">
        <v>74</v>
      </c>
      <c r="I766" t="s">
        <v>10176</v>
      </c>
      <c r="J766" t="s">
        <v>10162</v>
      </c>
      <c r="K766" t="s">
        <v>74</v>
      </c>
      <c r="L766" t="s">
        <v>74</v>
      </c>
      <c r="M766" t="s">
        <v>77</v>
      </c>
      <c r="N766" t="s">
        <v>78</v>
      </c>
      <c r="O766" t="s">
        <v>74</v>
      </c>
      <c r="P766" t="s">
        <v>74</v>
      </c>
      <c r="Q766" t="s">
        <v>74</v>
      </c>
      <c r="R766" t="s">
        <v>74</v>
      </c>
      <c r="S766" t="s">
        <v>74</v>
      </c>
      <c r="T766" t="s">
        <v>10177</v>
      </c>
      <c r="U766" t="s">
        <v>10178</v>
      </c>
      <c r="V766" t="s">
        <v>10179</v>
      </c>
      <c r="W766" t="s">
        <v>10180</v>
      </c>
      <c r="X766" t="s">
        <v>10181</v>
      </c>
      <c r="Y766" t="s">
        <v>10182</v>
      </c>
      <c r="Z766" t="s">
        <v>2980</v>
      </c>
      <c r="AA766" t="s">
        <v>10183</v>
      </c>
      <c r="AB766" t="s">
        <v>10184</v>
      </c>
      <c r="AC766" t="s">
        <v>74</v>
      </c>
      <c r="AD766" t="s">
        <v>74</v>
      </c>
      <c r="AE766" t="s">
        <v>74</v>
      </c>
      <c r="AF766" t="s">
        <v>74</v>
      </c>
      <c r="AG766">
        <v>56</v>
      </c>
      <c r="AH766">
        <v>35</v>
      </c>
      <c r="AI766">
        <v>38</v>
      </c>
      <c r="AJ766">
        <v>1</v>
      </c>
      <c r="AK766">
        <v>6</v>
      </c>
      <c r="AL766" t="s">
        <v>6711</v>
      </c>
      <c r="AM766" t="s">
        <v>246</v>
      </c>
      <c r="AN766" t="s">
        <v>6712</v>
      </c>
      <c r="AO766" t="s">
        <v>10169</v>
      </c>
      <c r="AP766" t="s">
        <v>10185</v>
      </c>
      <c r="AQ766" t="s">
        <v>74</v>
      </c>
      <c r="AR766" t="s">
        <v>10170</v>
      </c>
      <c r="AS766" t="s">
        <v>10171</v>
      </c>
      <c r="AT766" t="s">
        <v>9645</v>
      </c>
      <c r="AU766">
        <v>2000</v>
      </c>
      <c r="AV766">
        <v>57</v>
      </c>
      <c r="AW766">
        <v>4</v>
      </c>
      <c r="AX766" t="s">
        <v>74</v>
      </c>
      <c r="AY766" t="s">
        <v>74</v>
      </c>
      <c r="AZ766" t="s">
        <v>74</v>
      </c>
      <c r="BA766" t="s">
        <v>74</v>
      </c>
      <c r="BB766">
        <v>948</v>
      </c>
      <c r="BC766">
        <v>954</v>
      </c>
      <c r="BD766" t="s">
        <v>74</v>
      </c>
      <c r="BE766" t="s">
        <v>10186</v>
      </c>
      <c r="BF766" t="str">
        <f>HYPERLINK("http://dx.doi.org/10.1006/jmsc.2000.0582","http://dx.doi.org/10.1006/jmsc.2000.0582")</f>
        <v>http://dx.doi.org/10.1006/jmsc.2000.0582</v>
      </c>
      <c r="BG766" t="s">
        <v>74</v>
      </c>
      <c r="BH766" t="s">
        <v>74</v>
      </c>
      <c r="BI766">
        <v>7</v>
      </c>
      <c r="BJ766" t="s">
        <v>2739</v>
      </c>
      <c r="BK766" t="s">
        <v>94</v>
      </c>
      <c r="BL766" t="s">
        <v>2739</v>
      </c>
      <c r="BM766" t="s">
        <v>10173</v>
      </c>
      <c r="BN766" t="s">
        <v>74</v>
      </c>
      <c r="BO766" t="s">
        <v>1755</v>
      </c>
      <c r="BP766" t="s">
        <v>74</v>
      </c>
      <c r="BQ766" t="s">
        <v>74</v>
      </c>
      <c r="BR766" t="s">
        <v>97</v>
      </c>
      <c r="BS766" t="s">
        <v>10187</v>
      </c>
      <c r="BT766" t="str">
        <f>HYPERLINK("https%3A%2F%2Fwww.webofscience.com%2Fwos%2Fwoscc%2Ffull-record%2FWOS:000089933800016","View Full Record in Web of Science")</f>
        <v>View Full Record in Web of Science</v>
      </c>
    </row>
    <row r="767" spans="1:72" x14ac:dyDescent="0.15">
      <c r="A767" t="s">
        <v>72</v>
      </c>
      <c r="B767" t="s">
        <v>10188</v>
      </c>
      <c r="C767" t="s">
        <v>74</v>
      </c>
      <c r="D767" t="s">
        <v>74</v>
      </c>
      <c r="E767" t="s">
        <v>74</v>
      </c>
      <c r="F767" t="s">
        <v>10188</v>
      </c>
      <c r="G767" t="s">
        <v>74</v>
      </c>
      <c r="H767" t="s">
        <v>74</v>
      </c>
      <c r="I767" t="s">
        <v>10189</v>
      </c>
      <c r="J767" t="s">
        <v>10162</v>
      </c>
      <c r="K767" t="s">
        <v>74</v>
      </c>
      <c r="L767" t="s">
        <v>74</v>
      </c>
      <c r="M767" t="s">
        <v>77</v>
      </c>
      <c r="N767" t="s">
        <v>78</v>
      </c>
      <c r="O767" t="s">
        <v>74</v>
      </c>
      <c r="P767" t="s">
        <v>74</v>
      </c>
      <c r="Q767" t="s">
        <v>74</v>
      </c>
      <c r="R767" t="s">
        <v>74</v>
      </c>
      <c r="S767" t="s">
        <v>74</v>
      </c>
      <c r="T767" t="s">
        <v>10190</v>
      </c>
      <c r="U767" t="s">
        <v>10191</v>
      </c>
      <c r="V767" t="s">
        <v>10192</v>
      </c>
      <c r="W767" t="s">
        <v>10193</v>
      </c>
      <c r="X767" t="s">
        <v>10194</v>
      </c>
      <c r="Y767" t="s">
        <v>10195</v>
      </c>
      <c r="Z767" t="s">
        <v>74</v>
      </c>
      <c r="AA767" t="s">
        <v>10168</v>
      </c>
      <c r="AB767" t="s">
        <v>10196</v>
      </c>
      <c r="AC767" t="s">
        <v>74</v>
      </c>
      <c r="AD767" t="s">
        <v>74</v>
      </c>
      <c r="AE767" t="s">
        <v>74</v>
      </c>
      <c r="AF767" t="s">
        <v>74</v>
      </c>
      <c r="AG767">
        <v>61</v>
      </c>
      <c r="AH767">
        <v>41</v>
      </c>
      <c r="AI767">
        <v>48</v>
      </c>
      <c r="AJ767">
        <v>0</v>
      </c>
      <c r="AK767">
        <v>4</v>
      </c>
      <c r="AL767" t="s">
        <v>5568</v>
      </c>
      <c r="AM767" t="s">
        <v>1208</v>
      </c>
      <c r="AN767" t="s">
        <v>1900</v>
      </c>
      <c r="AO767" t="s">
        <v>10169</v>
      </c>
      <c r="AP767" t="s">
        <v>74</v>
      </c>
      <c r="AQ767" t="s">
        <v>74</v>
      </c>
      <c r="AR767" t="s">
        <v>10170</v>
      </c>
      <c r="AS767" t="s">
        <v>10171</v>
      </c>
      <c r="AT767" t="s">
        <v>9645</v>
      </c>
      <c r="AU767">
        <v>2000</v>
      </c>
      <c r="AV767">
        <v>57</v>
      </c>
      <c r="AW767">
        <v>4</v>
      </c>
      <c r="AX767" t="s">
        <v>74</v>
      </c>
      <c r="AY767" t="s">
        <v>74</v>
      </c>
      <c r="AZ767" t="s">
        <v>74</v>
      </c>
      <c r="BA767" t="s">
        <v>74</v>
      </c>
      <c r="BB767">
        <v>1128</v>
      </c>
      <c r="BC767">
        <v>1142</v>
      </c>
      <c r="BD767" t="s">
        <v>74</v>
      </c>
      <c r="BE767" t="s">
        <v>10197</v>
      </c>
      <c r="BF767" t="str">
        <f>HYPERLINK("http://dx.doi.org/10.1006/jmsc.2000.0800","http://dx.doi.org/10.1006/jmsc.2000.0800")</f>
        <v>http://dx.doi.org/10.1006/jmsc.2000.0800</v>
      </c>
      <c r="BG767" t="s">
        <v>74</v>
      </c>
      <c r="BH767" t="s">
        <v>74</v>
      </c>
      <c r="BI767">
        <v>15</v>
      </c>
      <c r="BJ767" t="s">
        <v>2739</v>
      </c>
      <c r="BK767" t="s">
        <v>94</v>
      </c>
      <c r="BL767" t="s">
        <v>2739</v>
      </c>
      <c r="BM767" t="s">
        <v>10173</v>
      </c>
      <c r="BN767" t="s">
        <v>74</v>
      </c>
      <c r="BO767" t="s">
        <v>74</v>
      </c>
      <c r="BP767" t="s">
        <v>74</v>
      </c>
      <c r="BQ767" t="s">
        <v>74</v>
      </c>
      <c r="BR767" t="s">
        <v>97</v>
      </c>
      <c r="BS767" t="s">
        <v>10198</v>
      </c>
      <c r="BT767" t="str">
        <f>HYPERLINK("https%3A%2F%2Fwww.webofscience.com%2Fwos%2Fwoscc%2Ffull-record%2FWOS:000089933800032","View Full Record in Web of Science")</f>
        <v>View Full Record in Web of Science</v>
      </c>
    </row>
    <row r="768" spans="1:72" x14ac:dyDescent="0.15">
      <c r="A768" t="s">
        <v>72</v>
      </c>
      <c r="B768" t="s">
        <v>10199</v>
      </c>
      <c r="C768" t="s">
        <v>74</v>
      </c>
      <c r="D768" t="s">
        <v>74</v>
      </c>
      <c r="E768" t="s">
        <v>74</v>
      </c>
      <c r="F768" t="s">
        <v>10199</v>
      </c>
      <c r="G768" t="s">
        <v>74</v>
      </c>
      <c r="H768" t="s">
        <v>74</v>
      </c>
      <c r="I768" t="s">
        <v>10200</v>
      </c>
      <c r="J768" t="s">
        <v>1518</v>
      </c>
      <c r="K768" t="s">
        <v>74</v>
      </c>
      <c r="L768" t="s">
        <v>74</v>
      </c>
      <c r="M768" t="s">
        <v>77</v>
      </c>
      <c r="N768" t="s">
        <v>78</v>
      </c>
      <c r="O768" t="s">
        <v>74</v>
      </c>
      <c r="P768" t="s">
        <v>74</v>
      </c>
      <c r="Q768" t="s">
        <v>74</v>
      </c>
      <c r="R768" t="s">
        <v>74</v>
      </c>
      <c r="S768" t="s">
        <v>74</v>
      </c>
      <c r="T768" t="s">
        <v>10201</v>
      </c>
      <c r="U768" t="s">
        <v>10202</v>
      </c>
      <c r="V768" t="s">
        <v>10203</v>
      </c>
      <c r="W768" t="s">
        <v>10204</v>
      </c>
      <c r="X768" t="s">
        <v>10205</v>
      </c>
      <c r="Y768" t="s">
        <v>10206</v>
      </c>
      <c r="Z768" t="s">
        <v>10207</v>
      </c>
      <c r="AA768" t="s">
        <v>10208</v>
      </c>
      <c r="AB768" t="s">
        <v>74</v>
      </c>
      <c r="AC768" t="s">
        <v>74</v>
      </c>
      <c r="AD768" t="s">
        <v>74</v>
      </c>
      <c r="AE768" t="s">
        <v>74</v>
      </c>
      <c r="AF768" t="s">
        <v>74</v>
      </c>
      <c r="AG768">
        <v>50</v>
      </c>
      <c r="AH768">
        <v>8</v>
      </c>
      <c r="AI768">
        <v>9</v>
      </c>
      <c r="AJ768">
        <v>0</v>
      </c>
      <c r="AK768">
        <v>6</v>
      </c>
      <c r="AL768" t="s">
        <v>813</v>
      </c>
      <c r="AM768" t="s">
        <v>814</v>
      </c>
      <c r="AN768" t="s">
        <v>815</v>
      </c>
      <c r="AO768" t="s">
        <v>1528</v>
      </c>
      <c r="AP768" t="s">
        <v>1529</v>
      </c>
      <c r="AQ768" t="s">
        <v>74</v>
      </c>
      <c r="AR768" t="s">
        <v>1530</v>
      </c>
      <c r="AS768" t="s">
        <v>1531</v>
      </c>
      <c r="AT768" t="s">
        <v>9645</v>
      </c>
      <c r="AU768">
        <v>2000</v>
      </c>
      <c r="AV768">
        <v>20</v>
      </c>
      <c r="AW768">
        <v>10</v>
      </c>
      <c r="AX768" t="s">
        <v>74</v>
      </c>
      <c r="AY768" t="s">
        <v>74</v>
      </c>
      <c r="AZ768" t="s">
        <v>74</v>
      </c>
      <c r="BA768" t="s">
        <v>74</v>
      </c>
      <c r="BB768">
        <v>1191</v>
      </c>
      <c r="BC768">
        <v>1206</v>
      </c>
      <c r="BD768" t="s">
        <v>74</v>
      </c>
      <c r="BE768" t="s">
        <v>10209</v>
      </c>
      <c r="BF768" t="str">
        <f>HYPERLINK("http://dx.doi.org/10.1002/1097-0088(200008)20:10&lt;1191::AID-JOC523&gt;3.3.CO;2-7","http://dx.doi.org/10.1002/1097-0088(200008)20:10&lt;1191::AID-JOC523&gt;3.3.CO;2-7")</f>
        <v>http://dx.doi.org/10.1002/1097-0088(200008)20:10&lt;1191::AID-JOC523&gt;3.3.CO;2-7</v>
      </c>
      <c r="BG768" t="s">
        <v>74</v>
      </c>
      <c r="BH768" t="s">
        <v>74</v>
      </c>
      <c r="BI768">
        <v>16</v>
      </c>
      <c r="BJ768" t="s">
        <v>167</v>
      </c>
      <c r="BK768" t="s">
        <v>94</v>
      </c>
      <c r="BL768" t="s">
        <v>167</v>
      </c>
      <c r="BM768" t="s">
        <v>10210</v>
      </c>
      <c r="BN768" t="s">
        <v>74</v>
      </c>
      <c r="BO768" t="s">
        <v>74</v>
      </c>
      <c r="BP768" t="s">
        <v>74</v>
      </c>
      <c r="BQ768" t="s">
        <v>74</v>
      </c>
      <c r="BR768" t="s">
        <v>97</v>
      </c>
      <c r="BS768" t="s">
        <v>10211</v>
      </c>
      <c r="BT768" t="str">
        <f>HYPERLINK("https%3A%2F%2Fwww.webofscience.com%2Fwos%2Fwoscc%2Ffull-record%2FWOS:000089005000009","View Full Record in Web of Science")</f>
        <v>View Full Record in Web of Science</v>
      </c>
    </row>
    <row r="769" spans="1:72" x14ac:dyDescent="0.15">
      <c r="A769" t="s">
        <v>72</v>
      </c>
      <c r="B769" t="s">
        <v>10212</v>
      </c>
      <c r="C769" t="s">
        <v>74</v>
      </c>
      <c r="D769" t="s">
        <v>74</v>
      </c>
      <c r="E769" t="s">
        <v>74</v>
      </c>
      <c r="F769" t="s">
        <v>10212</v>
      </c>
      <c r="G769" t="s">
        <v>74</v>
      </c>
      <c r="H769" t="s">
        <v>74</v>
      </c>
      <c r="I769" t="s">
        <v>10213</v>
      </c>
      <c r="J769" t="s">
        <v>1911</v>
      </c>
      <c r="K769" t="s">
        <v>74</v>
      </c>
      <c r="L769" t="s">
        <v>74</v>
      </c>
      <c r="M769" t="s">
        <v>77</v>
      </c>
      <c r="N769" t="s">
        <v>576</v>
      </c>
      <c r="O769" t="s">
        <v>10214</v>
      </c>
      <c r="P769" t="s">
        <v>10215</v>
      </c>
      <c r="Q769" t="s">
        <v>10216</v>
      </c>
      <c r="R769" t="s">
        <v>74</v>
      </c>
      <c r="S769" t="s">
        <v>74</v>
      </c>
      <c r="T769" t="s">
        <v>10217</v>
      </c>
      <c r="U769" t="s">
        <v>10218</v>
      </c>
      <c r="V769" t="s">
        <v>10219</v>
      </c>
      <c r="W769" t="s">
        <v>10220</v>
      </c>
      <c r="X769" t="s">
        <v>1996</v>
      </c>
      <c r="Y769" t="s">
        <v>10221</v>
      </c>
      <c r="Z769" t="s">
        <v>10222</v>
      </c>
      <c r="AA769" t="s">
        <v>10223</v>
      </c>
      <c r="AB769" t="s">
        <v>10224</v>
      </c>
      <c r="AC769" t="s">
        <v>74</v>
      </c>
      <c r="AD769" t="s">
        <v>74</v>
      </c>
      <c r="AE769" t="s">
        <v>74</v>
      </c>
      <c r="AF769" t="s">
        <v>74</v>
      </c>
      <c r="AG769">
        <v>51</v>
      </c>
      <c r="AH769">
        <v>143</v>
      </c>
      <c r="AI769">
        <v>149</v>
      </c>
      <c r="AJ769">
        <v>1</v>
      </c>
      <c r="AK769">
        <v>15</v>
      </c>
      <c r="AL769" t="s">
        <v>245</v>
      </c>
      <c r="AM769" t="s">
        <v>246</v>
      </c>
      <c r="AN769" t="s">
        <v>247</v>
      </c>
      <c r="AO769" t="s">
        <v>1918</v>
      </c>
      <c r="AP769" t="s">
        <v>6839</v>
      </c>
      <c r="AQ769" t="s">
        <v>74</v>
      </c>
      <c r="AR769" t="s">
        <v>1919</v>
      </c>
      <c r="AS769" t="s">
        <v>1920</v>
      </c>
      <c r="AT769" t="s">
        <v>9645</v>
      </c>
      <c r="AU769">
        <v>2000</v>
      </c>
      <c r="AV769">
        <v>62</v>
      </c>
      <c r="AW769">
        <v>12</v>
      </c>
      <c r="AX769" t="s">
        <v>74</v>
      </c>
      <c r="AY769" t="s">
        <v>74</v>
      </c>
      <c r="AZ769" t="s">
        <v>74</v>
      </c>
      <c r="BA769" t="s">
        <v>74</v>
      </c>
      <c r="BB769">
        <v>1115</v>
      </c>
      <c r="BC769">
        <v>1127</v>
      </c>
      <c r="BD769" t="s">
        <v>74</v>
      </c>
      <c r="BE769" t="s">
        <v>10225</v>
      </c>
      <c r="BF769" t="str">
        <f>HYPERLINK("http://dx.doi.org/10.1016/S1364-6826(00)00094-8","http://dx.doi.org/10.1016/S1364-6826(00)00094-8")</f>
        <v>http://dx.doi.org/10.1016/S1364-6826(00)00094-8</v>
      </c>
      <c r="BG769" t="s">
        <v>74</v>
      </c>
      <c r="BH769" t="s">
        <v>74</v>
      </c>
      <c r="BI769">
        <v>13</v>
      </c>
      <c r="BJ769" t="s">
        <v>1085</v>
      </c>
      <c r="BK769" t="s">
        <v>2763</v>
      </c>
      <c r="BL769" t="s">
        <v>1085</v>
      </c>
      <c r="BM769" t="s">
        <v>10226</v>
      </c>
      <c r="BN769" t="s">
        <v>74</v>
      </c>
      <c r="BO769" t="s">
        <v>74</v>
      </c>
      <c r="BP769" t="s">
        <v>74</v>
      </c>
      <c r="BQ769" t="s">
        <v>74</v>
      </c>
      <c r="BR769" t="s">
        <v>97</v>
      </c>
      <c r="BS769" t="s">
        <v>10227</v>
      </c>
      <c r="BT769" t="str">
        <f>HYPERLINK("https%3A%2F%2Fwww.webofscience.com%2Fwos%2Fwoscc%2Ffull-record%2FWOS:000089980200006","View Full Record in Web of Science")</f>
        <v>View Full Record in Web of Science</v>
      </c>
    </row>
    <row r="770" spans="1:72" x14ac:dyDescent="0.15">
      <c r="A770" t="s">
        <v>72</v>
      </c>
      <c r="B770" t="s">
        <v>10228</v>
      </c>
      <c r="C770" t="s">
        <v>74</v>
      </c>
      <c r="D770" t="s">
        <v>74</v>
      </c>
      <c r="E770" t="s">
        <v>74</v>
      </c>
      <c r="F770" t="s">
        <v>10228</v>
      </c>
      <c r="G770" t="s">
        <v>74</v>
      </c>
      <c r="H770" t="s">
        <v>74</v>
      </c>
      <c r="I770" t="s">
        <v>10229</v>
      </c>
      <c r="J770" t="s">
        <v>1947</v>
      </c>
      <c r="K770" t="s">
        <v>74</v>
      </c>
      <c r="L770" t="s">
        <v>74</v>
      </c>
      <c r="M770" t="s">
        <v>77</v>
      </c>
      <c r="N770" t="s">
        <v>236</v>
      </c>
      <c r="O770" t="s">
        <v>74</v>
      </c>
      <c r="P770" t="s">
        <v>74</v>
      </c>
      <c r="Q770" t="s">
        <v>74</v>
      </c>
      <c r="R770" t="s">
        <v>74</v>
      </c>
      <c r="S770" t="s">
        <v>74</v>
      </c>
      <c r="T770" t="s">
        <v>74</v>
      </c>
      <c r="U770" t="s">
        <v>10230</v>
      </c>
      <c r="V770" t="s">
        <v>10231</v>
      </c>
      <c r="W770" t="s">
        <v>10232</v>
      </c>
      <c r="X770" t="s">
        <v>10233</v>
      </c>
      <c r="Y770" t="s">
        <v>10234</v>
      </c>
      <c r="Z770" t="s">
        <v>10235</v>
      </c>
      <c r="AA770" t="s">
        <v>10236</v>
      </c>
      <c r="AB770" t="s">
        <v>10237</v>
      </c>
      <c r="AC770" t="s">
        <v>74</v>
      </c>
      <c r="AD770" t="s">
        <v>74</v>
      </c>
      <c r="AE770" t="s">
        <v>74</v>
      </c>
      <c r="AF770" t="s">
        <v>74</v>
      </c>
      <c r="AG770">
        <v>116</v>
      </c>
      <c r="AH770">
        <v>459</v>
      </c>
      <c r="AI770">
        <v>512</v>
      </c>
      <c r="AJ770">
        <v>4</v>
      </c>
      <c r="AK770">
        <v>121</v>
      </c>
      <c r="AL770" t="s">
        <v>1842</v>
      </c>
      <c r="AM770" t="s">
        <v>1843</v>
      </c>
      <c r="AN770" t="s">
        <v>1844</v>
      </c>
      <c r="AO770" t="s">
        <v>1951</v>
      </c>
      <c r="AP770" t="s">
        <v>1978</v>
      </c>
      <c r="AQ770" t="s">
        <v>74</v>
      </c>
      <c r="AR770" t="s">
        <v>1952</v>
      </c>
      <c r="AS770" t="s">
        <v>1953</v>
      </c>
      <c r="AT770" t="s">
        <v>10084</v>
      </c>
      <c r="AU770">
        <v>2000</v>
      </c>
      <c r="AV770">
        <v>13</v>
      </c>
      <c r="AW770">
        <v>15</v>
      </c>
      <c r="AX770" t="s">
        <v>74</v>
      </c>
      <c r="AY770" t="s">
        <v>74</v>
      </c>
      <c r="AZ770" t="s">
        <v>74</v>
      </c>
      <c r="BA770" t="s">
        <v>74</v>
      </c>
      <c r="BB770">
        <v>2671</v>
      </c>
      <c r="BC770">
        <v>2696</v>
      </c>
      <c r="BD770" t="s">
        <v>74</v>
      </c>
      <c r="BE770" t="s">
        <v>10238</v>
      </c>
      <c r="BF770" t="str">
        <f>HYPERLINK("http://dx.doi.org/10.1175/1520-0442(2000)013&lt;2671:TAORTT&gt;2.0.CO;2","http://dx.doi.org/10.1175/1520-0442(2000)013&lt;2671:TAORTT&gt;2.0.CO;2")</f>
        <v>http://dx.doi.org/10.1175/1520-0442(2000)013&lt;2671:TAORTT&gt;2.0.CO;2</v>
      </c>
      <c r="BG770" t="s">
        <v>74</v>
      </c>
      <c r="BH770" t="s">
        <v>74</v>
      </c>
      <c r="BI770">
        <v>26</v>
      </c>
      <c r="BJ770" t="s">
        <v>167</v>
      </c>
      <c r="BK770" t="s">
        <v>94</v>
      </c>
      <c r="BL770" t="s">
        <v>167</v>
      </c>
      <c r="BM770" t="s">
        <v>10239</v>
      </c>
      <c r="BN770" t="s">
        <v>74</v>
      </c>
      <c r="BO770" t="s">
        <v>1755</v>
      </c>
      <c r="BP770" t="s">
        <v>74</v>
      </c>
      <c r="BQ770" t="s">
        <v>74</v>
      </c>
      <c r="BR770" t="s">
        <v>97</v>
      </c>
      <c r="BS770" t="s">
        <v>10240</v>
      </c>
      <c r="BT770" t="str">
        <f>HYPERLINK("https%3A%2F%2Fwww.webofscience.com%2Fwos%2Fwoscc%2Ffull-record%2FWOS:000088811900002","View Full Record in Web of Science")</f>
        <v>View Full Record in Web of Science</v>
      </c>
    </row>
    <row r="771" spans="1:72" x14ac:dyDescent="0.15">
      <c r="A771" t="s">
        <v>72</v>
      </c>
      <c r="B771" t="s">
        <v>10241</v>
      </c>
      <c r="C771" t="s">
        <v>74</v>
      </c>
      <c r="D771" t="s">
        <v>74</v>
      </c>
      <c r="E771" t="s">
        <v>74</v>
      </c>
      <c r="F771" t="s">
        <v>10241</v>
      </c>
      <c r="G771" t="s">
        <v>74</v>
      </c>
      <c r="H771" t="s">
        <v>74</v>
      </c>
      <c r="I771" t="s">
        <v>10242</v>
      </c>
      <c r="J771" t="s">
        <v>5521</v>
      </c>
      <c r="K771" t="s">
        <v>74</v>
      </c>
      <c r="L771" t="s">
        <v>74</v>
      </c>
      <c r="M771" t="s">
        <v>77</v>
      </c>
      <c r="N771" t="s">
        <v>78</v>
      </c>
      <c r="O771" t="s">
        <v>74</v>
      </c>
      <c r="P771" t="s">
        <v>74</v>
      </c>
      <c r="Q771" t="s">
        <v>74</v>
      </c>
      <c r="R771" t="s">
        <v>74</v>
      </c>
      <c r="S771" t="s">
        <v>74</v>
      </c>
      <c r="T771" t="s">
        <v>10243</v>
      </c>
      <c r="U771" t="s">
        <v>10244</v>
      </c>
      <c r="V771" t="s">
        <v>10245</v>
      </c>
      <c r="W771" t="s">
        <v>10246</v>
      </c>
      <c r="X771" t="s">
        <v>10247</v>
      </c>
      <c r="Y771" t="s">
        <v>10248</v>
      </c>
      <c r="Z771" t="s">
        <v>74</v>
      </c>
      <c r="AA771" t="s">
        <v>10249</v>
      </c>
      <c r="AB771" t="s">
        <v>10250</v>
      </c>
      <c r="AC771" t="s">
        <v>74</v>
      </c>
      <c r="AD771" t="s">
        <v>74</v>
      </c>
      <c r="AE771" t="s">
        <v>74</v>
      </c>
      <c r="AF771" t="s">
        <v>74</v>
      </c>
      <c r="AG771">
        <v>41</v>
      </c>
      <c r="AH771">
        <v>245</v>
      </c>
      <c r="AI771">
        <v>290</v>
      </c>
      <c r="AJ771">
        <v>1</v>
      </c>
      <c r="AK771">
        <v>66</v>
      </c>
      <c r="AL771" t="s">
        <v>5530</v>
      </c>
      <c r="AM771" t="s">
        <v>109</v>
      </c>
      <c r="AN771" t="s">
        <v>5531</v>
      </c>
      <c r="AO771" t="s">
        <v>5532</v>
      </c>
      <c r="AP771" t="s">
        <v>74</v>
      </c>
      <c r="AQ771" t="s">
        <v>74</v>
      </c>
      <c r="AR771" t="s">
        <v>5533</v>
      </c>
      <c r="AS771" t="s">
        <v>5534</v>
      </c>
      <c r="AT771" t="s">
        <v>9645</v>
      </c>
      <c r="AU771">
        <v>2000</v>
      </c>
      <c r="AV771">
        <v>203</v>
      </c>
      <c r="AW771">
        <v>15</v>
      </c>
      <c r="AX771" t="s">
        <v>74</v>
      </c>
      <c r="AY771" t="s">
        <v>74</v>
      </c>
      <c r="AZ771" t="s">
        <v>74</v>
      </c>
      <c r="BA771" t="s">
        <v>74</v>
      </c>
      <c r="BB771">
        <v>2331</v>
      </c>
      <c r="BC771">
        <v>2339</v>
      </c>
      <c r="BD771" t="s">
        <v>74</v>
      </c>
      <c r="BE771" t="s">
        <v>74</v>
      </c>
      <c r="BF771" t="s">
        <v>74</v>
      </c>
      <c r="BG771" t="s">
        <v>74</v>
      </c>
      <c r="BH771" t="s">
        <v>74</v>
      </c>
      <c r="BI771">
        <v>9</v>
      </c>
      <c r="BJ771" t="s">
        <v>3757</v>
      </c>
      <c r="BK771" t="s">
        <v>94</v>
      </c>
      <c r="BL771" t="s">
        <v>3758</v>
      </c>
      <c r="BM771" t="s">
        <v>10251</v>
      </c>
      <c r="BN771">
        <v>10887071</v>
      </c>
      <c r="BO771" t="s">
        <v>74</v>
      </c>
      <c r="BP771" t="s">
        <v>74</v>
      </c>
      <c r="BQ771" t="s">
        <v>74</v>
      </c>
      <c r="BR771" t="s">
        <v>97</v>
      </c>
      <c r="BS771" t="s">
        <v>10252</v>
      </c>
      <c r="BT771" t="str">
        <f>HYPERLINK("https%3A%2F%2Fwww.webofscience.com%2Fwos%2Fwoscc%2Ffull-record%2FWOS:000088829800008","View Full Record in Web of Science")</f>
        <v>View Full Record in Web of Science</v>
      </c>
    </row>
    <row r="772" spans="1:72" x14ac:dyDescent="0.15">
      <c r="A772" t="s">
        <v>72</v>
      </c>
      <c r="B772" t="s">
        <v>10253</v>
      </c>
      <c r="C772" t="s">
        <v>74</v>
      </c>
      <c r="D772" t="s">
        <v>74</v>
      </c>
      <c r="E772" t="s">
        <v>74</v>
      </c>
      <c r="F772" t="s">
        <v>10253</v>
      </c>
      <c r="G772" t="s">
        <v>74</v>
      </c>
      <c r="H772" t="s">
        <v>74</v>
      </c>
      <c r="I772" t="s">
        <v>10254</v>
      </c>
      <c r="J772" t="s">
        <v>10255</v>
      </c>
      <c r="K772" t="s">
        <v>74</v>
      </c>
      <c r="L772" t="s">
        <v>74</v>
      </c>
      <c r="M772" t="s">
        <v>77</v>
      </c>
      <c r="N772" t="s">
        <v>236</v>
      </c>
      <c r="O772" t="s">
        <v>74</v>
      </c>
      <c r="P772" t="s">
        <v>74</v>
      </c>
      <c r="Q772" t="s">
        <v>74</v>
      </c>
      <c r="R772" t="s">
        <v>74</v>
      </c>
      <c r="S772" t="s">
        <v>74</v>
      </c>
      <c r="T772" t="s">
        <v>10256</v>
      </c>
      <c r="U772" t="s">
        <v>10257</v>
      </c>
      <c r="V772" t="s">
        <v>10258</v>
      </c>
      <c r="W772" t="s">
        <v>10259</v>
      </c>
      <c r="X772" t="s">
        <v>10260</v>
      </c>
      <c r="Y772" t="s">
        <v>10261</v>
      </c>
      <c r="Z772" t="s">
        <v>10262</v>
      </c>
      <c r="AA772" t="s">
        <v>74</v>
      </c>
      <c r="AB772" t="s">
        <v>10263</v>
      </c>
      <c r="AC772" t="s">
        <v>74</v>
      </c>
      <c r="AD772" t="s">
        <v>74</v>
      </c>
      <c r="AE772" t="s">
        <v>74</v>
      </c>
      <c r="AF772" t="s">
        <v>74</v>
      </c>
      <c r="AG772">
        <v>118</v>
      </c>
      <c r="AH772">
        <v>100</v>
      </c>
      <c r="AI772">
        <v>108</v>
      </c>
      <c r="AJ772">
        <v>1</v>
      </c>
      <c r="AK772">
        <v>11</v>
      </c>
      <c r="AL772" t="s">
        <v>6711</v>
      </c>
      <c r="AM772" t="s">
        <v>246</v>
      </c>
      <c r="AN772" t="s">
        <v>6712</v>
      </c>
      <c r="AO772" t="s">
        <v>10264</v>
      </c>
      <c r="AP772" t="s">
        <v>74</v>
      </c>
      <c r="AQ772" t="s">
        <v>74</v>
      </c>
      <c r="AR772" t="s">
        <v>10265</v>
      </c>
      <c r="AS772" t="s">
        <v>10266</v>
      </c>
      <c r="AT772" t="s">
        <v>9645</v>
      </c>
      <c r="AU772">
        <v>2000</v>
      </c>
      <c r="AV772">
        <v>41</v>
      </c>
      <c r="AW772">
        <v>8</v>
      </c>
      <c r="AX772" t="s">
        <v>74</v>
      </c>
      <c r="AY772" t="s">
        <v>74</v>
      </c>
      <c r="AZ772" t="s">
        <v>74</v>
      </c>
      <c r="BA772" t="s">
        <v>74</v>
      </c>
      <c r="BB772">
        <v>1271</v>
      </c>
      <c r="BC772">
        <v>1305</v>
      </c>
      <c r="BD772" t="s">
        <v>74</v>
      </c>
      <c r="BE772" t="s">
        <v>10267</v>
      </c>
      <c r="BF772" t="str">
        <f>HYPERLINK("http://dx.doi.org/10.1093/petrology/41.8.1271","http://dx.doi.org/10.1093/petrology/41.8.1271")</f>
        <v>http://dx.doi.org/10.1093/petrology/41.8.1271</v>
      </c>
      <c r="BG772" t="s">
        <v>74</v>
      </c>
      <c r="BH772" t="s">
        <v>74</v>
      </c>
      <c r="BI772">
        <v>35</v>
      </c>
      <c r="BJ772" t="s">
        <v>953</v>
      </c>
      <c r="BK772" t="s">
        <v>94</v>
      </c>
      <c r="BL772" t="s">
        <v>953</v>
      </c>
      <c r="BM772" t="s">
        <v>10268</v>
      </c>
      <c r="BN772" t="s">
        <v>74</v>
      </c>
      <c r="BO772" t="s">
        <v>1755</v>
      </c>
      <c r="BP772" t="s">
        <v>74</v>
      </c>
      <c r="BQ772" t="s">
        <v>74</v>
      </c>
      <c r="BR772" t="s">
        <v>97</v>
      </c>
      <c r="BS772" t="s">
        <v>10269</v>
      </c>
      <c r="BT772" t="str">
        <f>HYPERLINK("https%3A%2F%2Fwww.webofscience.com%2Fwos%2Fwoscc%2Ffull-record%2FWOS:000088688200003","View Full Record in Web of Science")</f>
        <v>View Full Record in Web of Science</v>
      </c>
    </row>
    <row r="773" spans="1:72" x14ac:dyDescent="0.15">
      <c r="A773" t="s">
        <v>72</v>
      </c>
      <c r="B773" t="s">
        <v>10270</v>
      </c>
      <c r="C773" t="s">
        <v>74</v>
      </c>
      <c r="D773" t="s">
        <v>74</v>
      </c>
      <c r="E773" t="s">
        <v>74</v>
      </c>
      <c r="F773" t="s">
        <v>10270</v>
      </c>
      <c r="G773" t="s">
        <v>74</v>
      </c>
      <c r="H773" t="s">
        <v>74</v>
      </c>
      <c r="I773" t="s">
        <v>10271</v>
      </c>
      <c r="J773" t="s">
        <v>10255</v>
      </c>
      <c r="K773" t="s">
        <v>74</v>
      </c>
      <c r="L773" t="s">
        <v>74</v>
      </c>
      <c r="M773" t="s">
        <v>77</v>
      </c>
      <c r="N773" t="s">
        <v>78</v>
      </c>
      <c r="O773" t="s">
        <v>74</v>
      </c>
      <c r="P773" t="s">
        <v>74</v>
      </c>
      <c r="Q773" t="s">
        <v>74</v>
      </c>
      <c r="R773" t="s">
        <v>74</v>
      </c>
      <c r="S773" t="s">
        <v>74</v>
      </c>
      <c r="T773" t="s">
        <v>10272</v>
      </c>
      <c r="U773" t="s">
        <v>10273</v>
      </c>
      <c r="V773" t="s">
        <v>10274</v>
      </c>
      <c r="W773" t="s">
        <v>10275</v>
      </c>
      <c r="X773" t="s">
        <v>10276</v>
      </c>
      <c r="Y773" t="s">
        <v>10277</v>
      </c>
      <c r="Z773" t="s">
        <v>74</v>
      </c>
      <c r="AA773" t="s">
        <v>10278</v>
      </c>
      <c r="AB773" t="s">
        <v>10279</v>
      </c>
      <c r="AC773" t="s">
        <v>74</v>
      </c>
      <c r="AD773" t="s">
        <v>74</v>
      </c>
      <c r="AE773" t="s">
        <v>74</v>
      </c>
      <c r="AF773" t="s">
        <v>74</v>
      </c>
      <c r="AG773">
        <v>83</v>
      </c>
      <c r="AH773">
        <v>155</v>
      </c>
      <c r="AI773">
        <v>174</v>
      </c>
      <c r="AJ773">
        <v>1</v>
      </c>
      <c r="AK773">
        <v>23</v>
      </c>
      <c r="AL773" t="s">
        <v>6711</v>
      </c>
      <c r="AM773" t="s">
        <v>246</v>
      </c>
      <c r="AN773" t="s">
        <v>6712</v>
      </c>
      <c r="AO773" t="s">
        <v>10264</v>
      </c>
      <c r="AP773" t="s">
        <v>74</v>
      </c>
      <c r="AQ773" t="s">
        <v>74</v>
      </c>
      <c r="AR773" t="s">
        <v>10265</v>
      </c>
      <c r="AS773" t="s">
        <v>10266</v>
      </c>
      <c r="AT773" t="s">
        <v>9645</v>
      </c>
      <c r="AU773">
        <v>2000</v>
      </c>
      <c r="AV773">
        <v>41</v>
      </c>
      <c r="AW773">
        <v>8</v>
      </c>
      <c r="AX773" t="s">
        <v>74</v>
      </c>
      <c r="AY773" t="s">
        <v>74</v>
      </c>
      <c r="AZ773" t="s">
        <v>74</v>
      </c>
      <c r="BA773" t="s">
        <v>74</v>
      </c>
      <c r="BB773">
        <v>1329</v>
      </c>
      <c r="BC773">
        <v>1364</v>
      </c>
      <c r="BD773" t="s">
        <v>74</v>
      </c>
      <c r="BE773" t="s">
        <v>10280</v>
      </c>
      <c r="BF773" t="str">
        <f>HYPERLINK("http://dx.doi.org/10.1093/petrology/41.8.1329","http://dx.doi.org/10.1093/petrology/41.8.1329")</f>
        <v>http://dx.doi.org/10.1093/petrology/41.8.1329</v>
      </c>
      <c r="BG773" t="s">
        <v>74</v>
      </c>
      <c r="BH773" t="s">
        <v>74</v>
      </c>
      <c r="BI773">
        <v>36</v>
      </c>
      <c r="BJ773" t="s">
        <v>953</v>
      </c>
      <c r="BK773" t="s">
        <v>94</v>
      </c>
      <c r="BL773" t="s">
        <v>953</v>
      </c>
      <c r="BM773" t="s">
        <v>10268</v>
      </c>
      <c r="BN773" t="s">
        <v>74</v>
      </c>
      <c r="BO773" t="s">
        <v>1755</v>
      </c>
      <c r="BP773" t="s">
        <v>74</v>
      </c>
      <c r="BQ773" t="s">
        <v>74</v>
      </c>
      <c r="BR773" t="s">
        <v>97</v>
      </c>
      <c r="BS773" t="s">
        <v>10281</v>
      </c>
      <c r="BT773" t="str">
        <f>HYPERLINK("https%3A%2F%2Fwww.webofscience.com%2Fwos%2Fwoscc%2Ffull-record%2FWOS:000088688200005","View Full Record in Web of Science")</f>
        <v>View Full Record in Web of Science</v>
      </c>
    </row>
    <row r="774" spans="1:72" x14ac:dyDescent="0.15">
      <c r="A774" t="s">
        <v>72</v>
      </c>
      <c r="B774" t="s">
        <v>10282</v>
      </c>
      <c r="C774" t="s">
        <v>74</v>
      </c>
      <c r="D774" t="s">
        <v>74</v>
      </c>
      <c r="E774" t="s">
        <v>74</v>
      </c>
      <c r="F774" t="s">
        <v>10282</v>
      </c>
      <c r="G774" t="s">
        <v>74</v>
      </c>
      <c r="H774" t="s">
        <v>74</v>
      </c>
      <c r="I774" t="s">
        <v>10283</v>
      </c>
      <c r="J774" t="s">
        <v>2417</v>
      </c>
      <c r="K774" t="s">
        <v>74</v>
      </c>
      <c r="L774" t="s">
        <v>74</v>
      </c>
      <c r="M774" t="s">
        <v>77</v>
      </c>
      <c r="N774" t="s">
        <v>78</v>
      </c>
      <c r="O774" t="s">
        <v>74</v>
      </c>
      <c r="P774" t="s">
        <v>74</v>
      </c>
      <c r="Q774" t="s">
        <v>74</v>
      </c>
      <c r="R774" t="s">
        <v>74</v>
      </c>
      <c r="S774" t="s">
        <v>74</v>
      </c>
      <c r="T774" t="s">
        <v>74</v>
      </c>
      <c r="U774" t="s">
        <v>10284</v>
      </c>
      <c r="V774" t="s">
        <v>10285</v>
      </c>
      <c r="W774" t="s">
        <v>10286</v>
      </c>
      <c r="X774" t="s">
        <v>10287</v>
      </c>
      <c r="Y774" t="s">
        <v>10288</v>
      </c>
      <c r="Z774" t="s">
        <v>10289</v>
      </c>
      <c r="AA774" t="s">
        <v>2652</v>
      </c>
      <c r="AB774" t="s">
        <v>2653</v>
      </c>
      <c r="AC774" t="s">
        <v>74</v>
      </c>
      <c r="AD774" t="s">
        <v>74</v>
      </c>
      <c r="AE774" t="s">
        <v>74</v>
      </c>
      <c r="AF774" t="s">
        <v>74</v>
      </c>
      <c r="AG774">
        <v>49</v>
      </c>
      <c r="AH774">
        <v>106</v>
      </c>
      <c r="AI774">
        <v>117</v>
      </c>
      <c r="AJ774">
        <v>1</v>
      </c>
      <c r="AK774">
        <v>8</v>
      </c>
      <c r="AL774" t="s">
        <v>1842</v>
      </c>
      <c r="AM774" t="s">
        <v>1843</v>
      </c>
      <c r="AN774" t="s">
        <v>1844</v>
      </c>
      <c r="AO774" t="s">
        <v>2423</v>
      </c>
      <c r="AP774" t="s">
        <v>2491</v>
      </c>
      <c r="AQ774" t="s">
        <v>74</v>
      </c>
      <c r="AR774" t="s">
        <v>2424</v>
      </c>
      <c r="AS774" t="s">
        <v>2425</v>
      </c>
      <c r="AT774" t="s">
        <v>9645</v>
      </c>
      <c r="AU774">
        <v>2000</v>
      </c>
      <c r="AV774">
        <v>30</v>
      </c>
      <c r="AW774">
        <v>8</v>
      </c>
      <c r="AX774" t="s">
        <v>74</v>
      </c>
      <c r="AY774" t="s">
        <v>74</v>
      </c>
      <c r="AZ774" t="s">
        <v>74</v>
      </c>
      <c r="BA774" t="s">
        <v>74</v>
      </c>
      <c r="BB774">
        <v>2013</v>
      </c>
      <c r="BC774">
        <v>2034</v>
      </c>
      <c r="BD774" t="s">
        <v>74</v>
      </c>
      <c r="BE774" t="s">
        <v>10290</v>
      </c>
      <c r="BF774" t="str">
        <f>HYPERLINK("http://dx.doi.org/10.1175/1520-0485(2000)030&lt;2013:OTROTC&gt;2.0.CO;2","http://dx.doi.org/10.1175/1520-0485(2000)030&lt;2013:OTROTC&gt;2.0.CO;2")</f>
        <v>http://dx.doi.org/10.1175/1520-0485(2000)030&lt;2013:OTROTC&gt;2.0.CO;2</v>
      </c>
      <c r="BG774" t="s">
        <v>74</v>
      </c>
      <c r="BH774" t="s">
        <v>74</v>
      </c>
      <c r="BI774">
        <v>22</v>
      </c>
      <c r="BJ774" t="s">
        <v>252</v>
      </c>
      <c r="BK774" t="s">
        <v>94</v>
      </c>
      <c r="BL774" t="s">
        <v>252</v>
      </c>
      <c r="BM774" t="s">
        <v>10291</v>
      </c>
      <c r="BN774" t="s">
        <v>74</v>
      </c>
      <c r="BO774" t="s">
        <v>1755</v>
      </c>
      <c r="BP774" t="s">
        <v>74</v>
      </c>
      <c r="BQ774" t="s">
        <v>74</v>
      </c>
      <c r="BR774" t="s">
        <v>97</v>
      </c>
      <c r="BS774" t="s">
        <v>10292</v>
      </c>
      <c r="BT774" t="str">
        <f>HYPERLINK("https%3A%2F%2Fwww.webofscience.com%2Fwos%2Fwoscc%2Ffull-record%2FWOS:000088911700013","View Full Record in Web of Science")</f>
        <v>View Full Record in Web of Science</v>
      </c>
    </row>
    <row r="775" spans="1:72" x14ac:dyDescent="0.15">
      <c r="A775" t="s">
        <v>72</v>
      </c>
      <c r="B775" t="s">
        <v>10293</v>
      </c>
      <c r="C775" t="s">
        <v>74</v>
      </c>
      <c r="D775" t="s">
        <v>74</v>
      </c>
      <c r="E775" t="s">
        <v>74</v>
      </c>
      <c r="F775" t="s">
        <v>10293</v>
      </c>
      <c r="G775" t="s">
        <v>74</v>
      </c>
      <c r="H775" t="s">
        <v>74</v>
      </c>
      <c r="I775" t="s">
        <v>10294</v>
      </c>
      <c r="J775" t="s">
        <v>10295</v>
      </c>
      <c r="K775" t="s">
        <v>74</v>
      </c>
      <c r="L775" t="s">
        <v>74</v>
      </c>
      <c r="M775" t="s">
        <v>77</v>
      </c>
      <c r="N775" t="s">
        <v>576</v>
      </c>
      <c r="O775" t="s">
        <v>10296</v>
      </c>
      <c r="P775" t="s">
        <v>10297</v>
      </c>
      <c r="Q775" t="s">
        <v>10298</v>
      </c>
      <c r="R775" t="s">
        <v>74</v>
      </c>
      <c r="S775" t="s">
        <v>10299</v>
      </c>
      <c r="T775" t="s">
        <v>10300</v>
      </c>
      <c r="U775" t="s">
        <v>10301</v>
      </c>
      <c r="V775" t="s">
        <v>10302</v>
      </c>
      <c r="W775" t="s">
        <v>10303</v>
      </c>
      <c r="X775" t="s">
        <v>10304</v>
      </c>
      <c r="Y775" t="s">
        <v>10305</v>
      </c>
      <c r="Z775" t="s">
        <v>74</v>
      </c>
      <c r="AA775" t="s">
        <v>74</v>
      </c>
      <c r="AB775" t="s">
        <v>9524</v>
      </c>
      <c r="AC775" t="s">
        <v>74</v>
      </c>
      <c r="AD775" t="s">
        <v>74</v>
      </c>
      <c r="AE775" t="s">
        <v>74</v>
      </c>
      <c r="AF775" t="s">
        <v>74</v>
      </c>
      <c r="AG775">
        <v>24</v>
      </c>
      <c r="AH775">
        <v>51</v>
      </c>
      <c r="AI775">
        <v>61</v>
      </c>
      <c r="AJ775">
        <v>0</v>
      </c>
      <c r="AK775">
        <v>7</v>
      </c>
      <c r="AL775" t="s">
        <v>1120</v>
      </c>
      <c r="AM775" t="s">
        <v>1121</v>
      </c>
      <c r="AN775" t="s">
        <v>2394</v>
      </c>
      <c r="AO775" t="s">
        <v>10306</v>
      </c>
      <c r="AP775" t="s">
        <v>74</v>
      </c>
      <c r="AQ775" t="s">
        <v>74</v>
      </c>
      <c r="AR775" t="s">
        <v>10307</v>
      </c>
      <c r="AS775" t="s">
        <v>10308</v>
      </c>
      <c r="AT775" t="s">
        <v>9645</v>
      </c>
      <c r="AU775">
        <v>2000</v>
      </c>
      <c r="AV775">
        <v>43</v>
      </c>
      <c r="AW775" t="s">
        <v>1046</v>
      </c>
      <c r="AX775" t="s">
        <v>74</v>
      </c>
      <c r="AY775" t="s">
        <v>74</v>
      </c>
      <c r="AZ775" t="s">
        <v>74</v>
      </c>
      <c r="BA775" t="s">
        <v>74</v>
      </c>
      <c r="BB775">
        <v>265</v>
      </c>
      <c r="BC775">
        <v>273</v>
      </c>
      <c r="BD775" t="s">
        <v>74</v>
      </c>
      <c r="BE775" t="s">
        <v>10309</v>
      </c>
      <c r="BF775" t="str">
        <f>HYPERLINK("http://dx.doi.org/10.1016/S1385-1101(00)00012-5","http://dx.doi.org/10.1016/S1385-1101(00)00012-5")</f>
        <v>http://dx.doi.org/10.1016/S1385-1101(00)00012-5</v>
      </c>
      <c r="BG775" t="s">
        <v>74</v>
      </c>
      <c r="BH775" t="s">
        <v>74</v>
      </c>
      <c r="BI775">
        <v>9</v>
      </c>
      <c r="BJ775" t="s">
        <v>7025</v>
      </c>
      <c r="BK775" t="s">
        <v>596</v>
      </c>
      <c r="BL775" t="s">
        <v>7025</v>
      </c>
      <c r="BM775" t="s">
        <v>10310</v>
      </c>
      <c r="BN775" t="s">
        <v>74</v>
      </c>
      <c r="BO775" t="s">
        <v>74</v>
      </c>
      <c r="BP775" t="s">
        <v>74</v>
      </c>
      <c r="BQ775" t="s">
        <v>74</v>
      </c>
      <c r="BR775" t="s">
        <v>97</v>
      </c>
      <c r="BS775" t="s">
        <v>10311</v>
      </c>
      <c r="BT775" t="str">
        <f>HYPERLINK("https%3A%2F%2Fwww.webofscience.com%2Fwos%2Fwoscc%2Ffull-record%2FWOS:000089555600010","View Full Record in Web of Science")</f>
        <v>View Full Record in Web of Science</v>
      </c>
    </row>
    <row r="776" spans="1:72" x14ac:dyDescent="0.15">
      <c r="A776" t="s">
        <v>72</v>
      </c>
      <c r="B776" t="s">
        <v>10312</v>
      </c>
      <c r="C776" t="s">
        <v>74</v>
      </c>
      <c r="D776" t="s">
        <v>74</v>
      </c>
      <c r="E776" t="s">
        <v>74</v>
      </c>
      <c r="F776" t="s">
        <v>10312</v>
      </c>
      <c r="G776" t="s">
        <v>74</v>
      </c>
      <c r="H776" t="s">
        <v>74</v>
      </c>
      <c r="I776" t="s">
        <v>10313</v>
      </c>
      <c r="J776" t="s">
        <v>9133</v>
      </c>
      <c r="K776" t="s">
        <v>74</v>
      </c>
      <c r="L776" t="s">
        <v>74</v>
      </c>
      <c r="M776" t="s">
        <v>77</v>
      </c>
      <c r="N776" t="s">
        <v>78</v>
      </c>
      <c r="O776" t="s">
        <v>74</v>
      </c>
      <c r="P776" t="s">
        <v>74</v>
      </c>
      <c r="Q776" t="s">
        <v>74</v>
      </c>
      <c r="R776" t="s">
        <v>74</v>
      </c>
      <c r="S776" t="s">
        <v>74</v>
      </c>
      <c r="T776" t="s">
        <v>10314</v>
      </c>
      <c r="U776" t="s">
        <v>10315</v>
      </c>
      <c r="V776" t="s">
        <v>10316</v>
      </c>
      <c r="W776" t="s">
        <v>10317</v>
      </c>
      <c r="X776" t="s">
        <v>10318</v>
      </c>
      <c r="Y776" t="s">
        <v>10319</v>
      </c>
      <c r="Z776" t="s">
        <v>74</v>
      </c>
      <c r="AA776" t="s">
        <v>10320</v>
      </c>
      <c r="AB776" t="s">
        <v>10321</v>
      </c>
      <c r="AC776" t="s">
        <v>74</v>
      </c>
      <c r="AD776" t="s">
        <v>74</v>
      </c>
      <c r="AE776" t="s">
        <v>74</v>
      </c>
      <c r="AF776" t="s">
        <v>74</v>
      </c>
      <c r="AG776">
        <v>32</v>
      </c>
      <c r="AH776">
        <v>52</v>
      </c>
      <c r="AI776">
        <v>59</v>
      </c>
      <c r="AJ776">
        <v>0</v>
      </c>
      <c r="AK776">
        <v>44</v>
      </c>
      <c r="AL776" t="s">
        <v>108</v>
      </c>
      <c r="AM776" t="s">
        <v>160</v>
      </c>
      <c r="AN776" t="s">
        <v>5086</v>
      </c>
      <c r="AO776" t="s">
        <v>9142</v>
      </c>
      <c r="AP776" t="s">
        <v>74</v>
      </c>
      <c r="AQ776" t="s">
        <v>74</v>
      </c>
      <c r="AR776" t="s">
        <v>9143</v>
      </c>
      <c r="AS776" t="s">
        <v>9144</v>
      </c>
      <c r="AT776" t="s">
        <v>9645</v>
      </c>
      <c r="AU776">
        <v>2000</v>
      </c>
      <c r="AV776">
        <v>251</v>
      </c>
      <c r="AW776" t="s">
        <v>74</v>
      </c>
      <c r="AX776">
        <v>4</v>
      </c>
      <c r="AY776" t="s">
        <v>74</v>
      </c>
      <c r="AZ776" t="s">
        <v>74</v>
      </c>
      <c r="BA776" t="s">
        <v>74</v>
      </c>
      <c r="BB776">
        <v>463</v>
      </c>
      <c r="BC776">
        <v>471</v>
      </c>
      <c r="BD776" t="s">
        <v>74</v>
      </c>
      <c r="BE776" t="s">
        <v>10322</v>
      </c>
      <c r="BF776" t="str">
        <f>HYPERLINK("http://dx.doi.org/10.1111/j.1469-7998.2000.tb00802.x","http://dx.doi.org/10.1111/j.1469-7998.2000.tb00802.x")</f>
        <v>http://dx.doi.org/10.1111/j.1469-7998.2000.tb00802.x</v>
      </c>
      <c r="BG776" t="s">
        <v>74</v>
      </c>
      <c r="BH776" t="s">
        <v>74</v>
      </c>
      <c r="BI776">
        <v>9</v>
      </c>
      <c r="BJ776" t="s">
        <v>206</v>
      </c>
      <c r="BK776" t="s">
        <v>94</v>
      </c>
      <c r="BL776" t="s">
        <v>206</v>
      </c>
      <c r="BM776" t="s">
        <v>10323</v>
      </c>
      <c r="BN776" t="s">
        <v>74</v>
      </c>
      <c r="BO776" t="s">
        <v>74</v>
      </c>
      <c r="BP776" t="s">
        <v>74</v>
      </c>
      <c r="BQ776" t="s">
        <v>74</v>
      </c>
      <c r="BR776" t="s">
        <v>97</v>
      </c>
      <c r="BS776" t="s">
        <v>10324</v>
      </c>
      <c r="BT776" t="str">
        <f>HYPERLINK("https%3A%2F%2Fwww.webofscience.com%2Fwos%2Fwoscc%2Ffull-record%2FWOS:000089506700006","View Full Record in Web of Science")</f>
        <v>View Full Record in Web of Science</v>
      </c>
    </row>
    <row r="777" spans="1:72" x14ac:dyDescent="0.15">
      <c r="A777" t="s">
        <v>72</v>
      </c>
      <c r="B777" t="s">
        <v>5416</v>
      </c>
      <c r="C777" t="s">
        <v>74</v>
      </c>
      <c r="D777" t="s">
        <v>74</v>
      </c>
      <c r="E777" t="s">
        <v>74</v>
      </c>
      <c r="F777" t="s">
        <v>5416</v>
      </c>
      <c r="G777" t="s">
        <v>74</v>
      </c>
      <c r="H777" t="s">
        <v>74</v>
      </c>
      <c r="I777" t="s">
        <v>10325</v>
      </c>
      <c r="J777" t="s">
        <v>10326</v>
      </c>
      <c r="K777" t="s">
        <v>74</v>
      </c>
      <c r="L777" t="s">
        <v>74</v>
      </c>
      <c r="M777" t="s">
        <v>77</v>
      </c>
      <c r="N777" t="s">
        <v>5419</v>
      </c>
      <c r="O777" t="s">
        <v>74</v>
      </c>
      <c r="P777" t="s">
        <v>74</v>
      </c>
      <c r="Q777" t="s">
        <v>74</v>
      </c>
      <c r="R777" t="s">
        <v>74</v>
      </c>
      <c r="S777" t="s">
        <v>74</v>
      </c>
      <c r="T777" t="s">
        <v>74</v>
      </c>
      <c r="U777" t="s">
        <v>74</v>
      </c>
      <c r="V777" t="s">
        <v>74</v>
      </c>
      <c r="W777" t="s">
        <v>74</v>
      </c>
      <c r="X777" t="s">
        <v>74</v>
      </c>
      <c r="Y777" t="s">
        <v>74</v>
      </c>
      <c r="Z777" t="s">
        <v>74</v>
      </c>
      <c r="AA777" t="s">
        <v>74</v>
      </c>
      <c r="AB777" t="s">
        <v>74</v>
      </c>
      <c r="AC777" t="s">
        <v>74</v>
      </c>
      <c r="AD777" t="s">
        <v>74</v>
      </c>
      <c r="AE777" t="s">
        <v>74</v>
      </c>
      <c r="AF777" t="s">
        <v>74</v>
      </c>
      <c r="AG777">
        <v>1</v>
      </c>
      <c r="AH777">
        <v>0</v>
      </c>
      <c r="AI777">
        <v>0</v>
      </c>
      <c r="AJ777">
        <v>0</v>
      </c>
      <c r="AK777">
        <v>2</v>
      </c>
      <c r="AL777" t="s">
        <v>10327</v>
      </c>
      <c r="AM777" t="s">
        <v>1208</v>
      </c>
      <c r="AN777" t="s">
        <v>10328</v>
      </c>
      <c r="AO777" t="s">
        <v>10329</v>
      </c>
      <c r="AP777" t="s">
        <v>74</v>
      </c>
      <c r="AQ777" t="s">
        <v>74</v>
      </c>
      <c r="AR777" t="s">
        <v>10326</v>
      </c>
      <c r="AS777" t="s">
        <v>10330</v>
      </c>
      <c r="AT777" t="s">
        <v>9645</v>
      </c>
      <c r="AU777">
        <v>2000</v>
      </c>
      <c r="AV777">
        <v>86</v>
      </c>
      <c r="AW777">
        <v>3</v>
      </c>
      <c r="AX777" t="s">
        <v>74</v>
      </c>
      <c r="AY777" t="s">
        <v>74</v>
      </c>
      <c r="AZ777" t="s">
        <v>74</v>
      </c>
      <c r="BA777" t="s">
        <v>74</v>
      </c>
      <c r="BB777">
        <v>365</v>
      </c>
      <c r="BC777">
        <v>365</v>
      </c>
      <c r="BD777" t="s">
        <v>74</v>
      </c>
      <c r="BE777" t="s">
        <v>74</v>
      </c>
      <c r="BF777" t="s">
        <v>74</v>
      </c>
      <c r="BG777" t="s">
        <v>74</v>
      </c>
      <c r="BH777" t="s">
        <v>74</v>
      </c>
      <c r="BI777">
        <v>1</v>
      </c>
      <c r="BJ777" t="s">
        <v>5426</v>
      </c>
      <c r="BK777" t="s">
        <v>5427</v>
      </c>
      <c r="BL777" t="s">
        <v>5426</v>
      </c>
      <c r="BM777" t="s">
        <v>10331</v>
      </c>
      <c r="BN777" t="s">
        <v>74</v>
      </c>
      <c r="BO777" t="s">
        <v>74</v>
      </c>
      <c r="BP777" t="s">
        <v>74</v>
      </c>
      <c r="BQ777" t="s">
        <v>74</v>
      </c>
      <c r="BR777" t="s">
        <v>97</v>
      </c>
      <c r="BS777" t="s">
        <v>10332</v>
      </c>
      <c r="BT777" t="str">
        <f>HYPERLINK("https%3A%2F%2Fwww.webofscience.com%2Fwos%2Fwoscc%2Ffull-record%2FWOS:000088691300049","View Full Record in Web of Science")</f>
        <v>View Full Record in Web of Science</v>
      </c>
    </row>
    <row r="778" spans="1:72" x14ac:dyDescent="0.15">
      <c r="A778" t="s">
        <v>72</v>
      </c>
      <c r="B778" t="s">
        <v>10333</v>
      </c>
      <c r="C778" t="s">
        <v>74</v>
      </c>
      <c r="D778" t="s">
        <v>74</v>
      </c>
      <c r="E778" t="s">
        <v>74</v>
      </c>
      <c r="F778" t="s">
        <v>10333</v>
      </c>
      <c r="G778" t="s">
        <v>74</v>
      </c>
      <c r="H778" t="s">
        <v>74</v>
      </c>
      <c r="I778" t="s">
        <v>10334</v>
      </c>
      <c r="J778" t="s">
        <v>3389</v>
      </c>
      <c r="K778" t="s">
        <v>74</v>
      </c>
      <c r="L778" t="s">
        <v>74</v>
      </c>
      <c r="M778" t="s">
        <v>77</v>
      </c>
      <c r="N778" t="s">
        <v>78</v>
      </c>
      <c r="O778" t="s">
        <v>74</v>
      </c>
      <c r="P778" t="s">
        <v>74</v>
      </c>
      <c r="Q778" t="s">
        <v>74</v>
      </c>
      <c r="R778" t="s">
        <v>74</v>
      </c>
      <c r="S778" t="s">
        <v>74</v>
      </c>
      <c r="T778" t="s">
        <v>74</v>
      </c>
      <c r="U778" t="s">
        <v>10335</v>
      </c>
      <c r="V778" t="s">
        <v>10336</v>
      </c>
      <c r="W778" t="s">
        <v>10337</v>
      </c>
      <c r="X778" t="s">
        <v>7851</v>
      </c>
      <c r="Y778" t="s">
        <v>10338</v>
      </c>
      <c r="Z778" t="s">
        <v>74</v>
      </c>
      <c r="AA778" t="s">
        <v>7854</v>
      </c>
      <c r="AB778" t="s">
        <v>74</v>
      </c>
      <c r="AC778" t="s">
        <v>74</v>
      </c>
      <c r="AD778" t="s">
        <v>74</v>
      </c>
      <c r="AE778" t="s">
        <v>74</v>
      </c>
      <c r="AF778" t="s">
        <v>74</v>
      </c>
      <c r="AG778">
        <v>64</v>
      </c>
      <c r="AH778">
        <v>53</v>
      </c>
      <c r="AI778">
        <v>62</v>
      </c>
      <c r="AJ778">
        <v>0</v>
      </c>
      <c r="AK778">
        <v>3</v>
      </c>
      <c r="AL778" t="s">
        <v>906</v>
      </c>
      <c r="AM778" t="s">
        <v>160</v>
      </c>
      <c r="AN778" t="s">
        <v>890</v>
      </c>
      <c r="AO778" t="s">
        <v>3398</v>
      </c>
      <c r="AP778" t="s">
        <v>3399</v>
      </c>
      <c r="AQ778" t="s">
        <v>74</v>
      </c>
      <c r="AR778" t="s">
        <v>3400</v>
      </c>
      <c r="AS778" t="s">
        <v>3401</v>
      </c>
      <c r="AT778" t="s">
        <v>9645</v>
      </c>
      <c r="AU778">
        <v>2000</v>
      </c>
      <c r="AV778">
        <v>40</v>
      </c>
      <c r="AW778">
        <v>2</v>
      </c>
      <c r="AX778" t="s">
        <v>74</v>
      </c>
      <c r="AY778" t="s">
        <v>74</v>
      </c>
      <c r="AZ778" t="s">
        <v>74</v>
      </c>
      <c r="BA778" t="s">
        <v>74</v>
      </c>
      <c r="BB778">
        <v>159</v>
      </c>
      <c r="BC778">
        <v>168</v>
      </c>
      <c r="BD778" t="s">
        <v>74</v>
      </c>
      <c r="BE778" t="s">
        <v>74</v>
      </c>
      <c r="BF778" t="s">
        <v>74</v>
      </c>
      <c r="BG778" t="s">
        <v>74</v>
      </c>
      <c r="BH778" t="s">
        <v>74</v>
      </c>
      <c r="BI778">
        <v>10</v>
      </c>
      <c r="BJ778" t="s">
        <v>3402</v>
      </c>
      <c r="BK778" t="s">
        <v>94</v>
      </c>
      <c r="BL778" t="s">
        <v>3403</v>
      </c>
      <c r="BM778" t="s">
        <v>10339</v>
      </c>
      <c r="BN778">
        <v>11029084</v>
      </c>
      <c r="BO778" t="s">
        <v>74</v>
      </c>
      <c r="BP778" t="s">
        <v>74</v>
      </c>
      <c r="BQ778" t="s">
        <v>74</v>
      </c>
      <c r="BR778" t="s">
        <v>97</v>
      </c>
      <c r="BS778" t="s">
        <v>10340</v>
      </c>
      <c r="BT778" t="str">
        <f>HYPERLINK("https%3A%2F%2Fwww.webofscience.com%2Fwos%2Fwoscc%2Ffull-record%2FWOS:000089912500009","View Full Record in Web of Science")</f>
        <v>View Full Record in Web of Science</v>
      </c>
    </row>
    <row r="779" spans="1:72" x14ac:dyDescent="0.15">
      <c r="A779" t="s">
        <v>72</v>
      </c>
      <c r="B779" t="s">
        <v>10341</v>
      </c>
      <c r="C779" t="s">
        <v>74</v>
      </c>
      <c r="D779" t="s">
        <v>74</v>
      </c>
      <c r="E779" t="s">
        <v>74</v>
      </c>
      <c r="F779" t="s">
        <v>10341</v>
      </c>
      <c r="G779" t="s">
        <v>74</v>
      </c>
      <c r="H779" t="s">
        <v>74</v>
      </c>
      <c r="I779" t="s">
        <v>10342</v>
      </c>
      <c r="J779" t="s">
        <v>10343</v>
      </c>
      <c r="K779" t="s">
        <v>74</v>
      </c>
      <c r="L779" t="s">
        <v>74</v>
      </c>
      <c r="M779" t="s">
        <v>77</v>
      </c>
      <c r="N779" t="s">
        <v>78</v>
      </c>
      <c r="O779" t="s">
        <v>74</v>
      </c>
      <c r="P779" t="s">
        <v>74</v>
      </c>
      <c r="Q779" t="s">
        <v>74</v>
      </c>
      <c r="R779" t="s">
        <v>74</v>
      </c>
      <c r="S779" t="s">
        <v>74</v>
      </c>
      <c r="T779" t="s">
        <v>74</v>
      </c>
      <c r="U779" t="s">
        <v>10344</v>
      </c>
      <c r="V779" t="s">
        <v>10345</v>
      </c>
      <c r="W779" t="s">
        <v>885</v>
      </c>
      <c r="X779" t="s">
        <v>221</v>
      </c>
      <c r="Y779" t="s">
        <v>10346</v>
      </c>
      <c r="Z779" t="s">
        <v>10347</v>
      </c>
      <c r="AA779" t="s">
        <v>10348</v>
      </c>
      <c r="AB779" t="s">
        <v>10349</v>
      </c>
      <c r="AC779" t="s">
        <v>74</v>
      </c>
      <c r="AD779" t="s">
        <v>74</v>
      </c>
      <c r="AE779" t="s">
        <v>74</v>
      </c>
      <c r="AF779" t="s">
        <v>74</v>
      </c>
      <c r="AG779">
        <v>44</v>
      </c>
      <c r="AH779">
        <v>221</v>
      </c>
      <c r="AI779">
        <v>247</v>
      </c>
      <c r="AJ779">
        <v>2</v>
      </c>
      <c r="AK779">
        <v>57</v>
      </c>
      <c r="AL779" t="s">
        <v>813</v>
      </c>
      <c r="AM779" t="s">
        <v>814</v>
      </c>
      <c r="AN779" t="s">
        <v>815</v>
      </c>
      <c r="AO779" t="s">
        <v>10350</v>
      </c>
      <c r="AP779" t="s">
        <v>10351</v>
      </c>
      <c r="AQ779" t="s">
        <v>74</v>
      </c>
      <c r="AR779" t="s">
        <v>10343</v>
      </c>
      <c r="AS779" t="s">
        <v>10352</v>
      </c>
      <c r="AT779" t="s">
        <v>9645</v>
      </c>
      <c r="AU779">
        <v>2000</v>
      </c>
      <c r="AV779">
        <v>90</v>
      </c>
      <c r="AW779">
        <v>2</v>
      </c>
      <c r="AX779" t="s">
        <v>74</v>
      </c>
      <c r="AY779" t="s">
        <v>74</v>
      </c>
      <c r="AZ779" t="s">
        <v>74</v>
      </c>
      <c r="BA779" t="s">
        <v>74</v>
      </c>
      <c r="BB779">
        <v>390</v>
      </c>
      <c r="BC779">
        <v>398</v>
      </c>
      <c r="BD779" t="s">
        <v>74</v>
      </c>
      <c r="BE779" t="s">
        <v>10353</v>
      </c>
      <c r="BF779" t="str">
        <f>HYPERLINK("http://dx.doi.org/10.1034/j.1600-0706.2000.900220.x","http://dx.doi.org/10.1034/j.1600-0706.2000.900220.x")</f>
        <v>http://dx.doi.org/10.1034/j.1600-0706.2000.900220.x</v>
      </c>
      <c r="BG779" t="s">
        <v>74</v>
      </c>
      <c r="BH779" t="s">
        <v>74</v>
      </c>
      <c r="BI779">
        <v>9</v>
      </c>
      <c r="BJ779" t="s">
        <v>5913</v>
      </c>
      <c r="BK779" t="s">
        <v>94</v>
      </c>
      <c r="BL779" t="s">
        <v>114</v>
      </c>
      <c r="BM779" t="s">
        <v>10354</v>
      </c>
      <c r="BN779" t="s">
        <v>74</v>
      </c>
      <c r="BO779" t="s">
        <v>74</v>
      </c>
      <c r="BP779" t="s">
        <v>74</v>
      </c>
      <c r="BQ779" t="s">
        <v>74</v>
      </c>
      <c r="BR779" t="s">
        <v>97</v>
      </c>
      <c r="BS779" t="s">
        <v>10355</v>
      </c>
      <c r="BT779" t="str">
        <f>HYPERLINK("https%3A%2F%2Fwww.webofscience.com%2Fwos%2Fwoscc%2Ffull-record%2FWOS:000089031600020","View Full Record in Web of Science")</f>
        <v>View Full Record in Web of Science</v>
      </c>
    </row>
    <row r="780" spans="1:72" x14ac:dyDescent="0.15">
      <c r="A780" t="s">
        <v>72</v>
      </c>
      <c r="B780" t="s">
        <v>10356</v>
      </c>
      <c r="C780" t="s">
        <v>74</v>
      </c>
      <c r="D780" t="s">
        <v>74</v>
      </c>
      <c r="E780" t="s">
        <v>74</v>
      </c>
      <c r="F780" t="s">
        <v>10356</v>
      </c>
      <c r="G780" t="s">
        <v>74</v>
      </c>
      <c r="H780" t="s">
        <v>74</v>
      </c>
      <c r="I780" t="s">
        <v>10357</v>
      </c>
      <c r="J780" t="s">
        <v>5934</v>
      </c>
      <c r="K780" t="s">
        <v>74</v>
      </c>
      <c r="L780" t="s">
        <v>74</v>
      </c>
      <c r="M780" t="s">
        <v>77</v>
      </c>
      <c r="N780" t="s">
        <v>78</v>
      </c>
      <c r="O780" t="s">
        <v>74</v>
      </c>
      <c r="P780" t="s">
        <v>74</v>
      </c>
      <c r="Q780" t="s">
        <v>74</v>
      </c>
      <c r="R780" t="s">
        <v>74</v>
      </c>
      <c r="S780" t="s">
        <v>74</v>
      </c>
      <c r="T780" t="s">
        <v>74</v>
      </c>
      <c r="U780" t="s">
        <v>10358</v>
      </c>
      <c r="V780" t="s">
        <v>10359</v>
      </c>
      <c r="W780" t="s">
        <v>10360</v>
      </c>
      <c r="X780" t="s">
        <v>10361</v>
      </c>
      <c r="Y780" t="s">
        <v>10362</v>
      </c>
      <c r="Z780" t="s">
        <v>74</v>
      </c>
      <c r="AA780" t="s">
        <v>74</v>
      </c>
      <c r="AB780" t="s">
        <v>74</v>
      </c>
      <c r="AC780" t="s">
        <v>74</v>
      </c>
      <c r="AD780" t="s">
        <v>74</v>
      </c>
      <c r="AE780" t="s">
        <v>74</v>
      </c>
      <c r="AF780" t="s">
        <v>74</v>
      </c>
      <c r="AG780">
        <v>30</v>
      </c>
      <c r="AH780">
        <v>34</v>
      </c>
      <c r="AI780">
        <v>37</v>
      </c>
      <c r="AJ780">
        <v>0</v>
      </c>
      <c r="AK780">
        <v>7</v>
      </c>
      <c r="AL780" t="s">
        <v>1059</v>
      </c>
      <c r="AM780" t="s">
        <v>1060</v>
      </c>
      <c r="AN780" t="s">
        <v>1061</v>
      </c>
      <c r="AO780" t="s">
        <v>5940</v>
      </c>
      <c r="AP780" t="s">
        <v>74</v>
      </c>
      <c r="AQ780" t="s">
        <v>74</v>
      </c>
      <c r="AR780" t="s">
        <v>5934</v>
      </c>
      <c r="AS780" t="s">
        <v>5941</v>
      </c>
      <c r="AT780" t="s">
        <v>9645</v>
      </c>
      <c r="AU780">
        <v>2000</v>
      </c>
      <c r="AV780">
        <v>15</v>
      </c>
      <c r="AW780">
        <v>4</v>
      </c>
      <c r="AX780" t="s">
        <v>74</v>
      </c>
      <c r="AY780" t="s">
        <v>74</v>
      </c>
      <c r="AZ780" t="s">
        <v>74</v>
      </c>
      <c r="BA780" t="s">
        <v>74</v>
      </c>
      <c r="BB780">
        <v>451</v>
      </c>
      <c r="BC780">
        <v>455</v>
      </c>
      <c r="BD780" t="s">
        <v>74</v>
      </c>
      <c r="BE780" t="s">
        <v>10363</v>
      </c>
      <c r="BF780" t="str">
        <f>HYPERLINK("http://dx.doi.org/10.1029/1999PA000459","http://dx.doi.org/10.1029/1999PA000459")</f>
        <v>http://dx.doi.org/10.1029/1999PA000459</v>
      </c>
      <c r="BG780" t="s">
        <v>74</v>
      </c>
      <c r="BH780" t="s">
        <v>74</v>
      </c>
      <c r="BI780">
        <v>5</v>
      </c>
      <c r="BJ780" t="s">
        <v>5943</v>
      </c>
      <c r="BK780" t="s">
        <v>94</v>
      </c>
      <c r="BL780" t="s">
        <v>5944</v>
      </c>
      <c r="BM780" t="s">
        <v>10364</v>
      </c>
      <c r="BN780" t="s">
        <v>74</v>
      </c>
      <c r="BO780" t="s">
        <v>1755</v>
      </c>
      <c r="BP780" t="s">
        <v>74</v>
      </c>
      <c r="BQ780" t="s">
        <v>74</v>
      </c>
      <c r="BR780" t="s">
        <v>97</v>
      </c>
      <c r="BS780" t="s">
        <v>10365</v>
      </c>
      <c r="BT780" t="str">
        <f>HYPERLINK("https%3A%2F%2Fwww.webofscience.com%2Fwos%2Fwoscc%2Ffull-record%2FWOS:000088281200008","View Full Record in Web of Science")</f>
        <v>View Full Record in Web of Science</v>
      </c>
    </row>
    <row r="781" spans="1:72" x14ac:dyDescent="0.15">
      <c r="A781" t="s">
        <v>72</v>
      </c>
      <c r="B781" t="s">
        <v>10366</v>
      </c>
      <c r="C781" t="s">
        <v>74</v>
      </c>
      <c r="D781" t="s">
        <v>74</v>
      </c>
      <c r="E781" t="s">
        <v>74</v>
      </c>
      <c r="F781" t="s">
        <v>10366</v>
      </c>
      <c r="G781" t="s">
        <v>74</v>
      </c>
      <c r="H781" t="s">
        <v>74</v>
      </c>
      <c r="I781" t="s">
        <v>10367</v>
      </c>
      <c r="J781" t="s">
        <v>10368</v>
      </c>
      <c r="K781" t="s">
        <v>74</v>
      </c>
      <c r="L781" t="s">
        <v>74</v>
      </c>
      <c r="M781" t="s">
        <v>77</v>
      </c>
      <c r="N781" t="s">
        <v>236</v>
      </c>
      <c r="O781" t="s">
        <v>74</v>
      </c>
      <c r="P781" t="s">
        <v>74</v>
      </c>
      <c r="Q781" t="s">
        <v>74</v>
      </c>
      <c r="R781" t="s">
        <v>74</v>
      </c>
      <c r="S781" t="s">
        <v>74</v>
      </c>
      <c r="T781" t="s">
        <v>74</v>
      </c>
      <c r="U781" t="s">
        <v>10369</v>
      </c>
      <c r="V781" t="s">
        <v>10370</v>
      </c>
      <c r="W781" t="s">
        <v>1147</v>
      </c>
      <c r="X781" t="s">
        <v>1148</v>
      </c>
      <c r="Y781" t="s">
        <v>10371</v>
      </c>
      <c r="Z781" t="s">
        <v>10372</v>
      </c>
      <c r="AA781" t="s">
        <v>74</v>
      </c>
      <c r="AB781" t="s">
        <v>74</v>
      </c>
      <c r="AC781" t="s">
        <v>74</v>
      </c>
      <c r="AD781" t="s">
        <v>74</v>
      </c>
      <c r="AE781" t="s">
        <v>74</v>
      </c>
      <c r="AF781" t="s">
        <v>74</v>
      </c>
      <c r="AG781">
        <v>42</v>
      </c>
      <c r="AH781">
        <v>34</v>
      </c>
      <c r="AI781">
        <v>34</v>
      </c>
      <c r="AJ781">
        <v>0</v>
      </c>
      <c r="AK781">
        <v>1</v>
      </c>
      <c r="AL781" t="s">
        <v>1823</v>
      </c>
      <c r="AM781" t="s">
        <v>1121</v>
      </c>
      <c r="AN781" t="s">
        <v>1824</v>
      </c>
      <c r="AO781" t="s">
        <v>10373</v>
      </c>
      <c r="AP781" t="s">
        <v>10374</v>
      </c>
      <c r="AQ781" t="s">
        <v>74</v>
      </c>
      <c r="AR781" t="s">
        <v>10375</v>
      </c>
      <c r="AS781" t="s">
        <v>10376</v>
      </c>
      <c r="AT781" t="s">
        <v>9645</v>
      </c>
      <c r="AU781">
        <v>2000</v>
      </c>
      <c r="AV781">
        <v>333</v>
      </c>
      <c r="AW781" t="s">
        <v>10377</v>
      </c>
      <c r="AX781" t="s">
        <v>74</v>
      </c>
      <c r="AY781" t="s">
        <v>74</v>
      </c>
      <c r="AZ781" t="s">
        <v>74</v>
      </c>
      <c r="BA781" t="s">
        <v>74</v>
      </c>
      <c r="BB781">
        <v>349</v>
      </c>
      <c r="BC781">
        <v>364</v>
      </c>
      <c r="BD781" t="s">
        <v>74</v>
      </c>
      <c r="BE781" t="s">
        <v>10378</v>
      </c>
      <c r="BF781" t="str">
        <f>HYPERLINK("http://dx.doi.org/10.1016/S0370-1573(00)00029-6","http://dx.doi.org/10.1016/S0370-1573(00)00029-6")</f>
        <v>http://dx.doi.org/10.1016/S0370-1573(00)00029-6</v>
      </c>
      <c r="BG781" t="s">
        <v>74</v>
      </c>
      <c r="BH781" t="s">
        <v>74</v>
      </c>
      <c r="BI781">
        <v>16</v>
      </c>
      <c r="BJ781" t="s">
        <v>10379</v>
      </c>
      <c r="BK781" t="s">
        <v>94</v>
      </c>
      <c r="BL781" t="s">
        <v>1156</v>
      </c>
      <c r="BM781" t="s">
        <v>10380</v>
      </c>
      <c r="BN781" t="s">
        <v>74</v>
      </c>
      <c r="BO781" t="s">
        <v>74</v>
      </c>
      <c r="BP781" t="s">
        <v>74</v>
      </c>
      <c r="BQ781" t="s">
        <v>74</v>
      </c>
      <c r="BR781" t="s">
        <v>97</v>
      </c>
      <c r="BS781" t="s">
        <v>10381</v>
      </c>
      <c r="BT781" t="str">
        <f>HYPERLINK("https%3A%2F%2Fwww.webofscience.com%2Fwos%2Fwoscc%2Ffull-record%2FWOS:000088280600021","View Full Record in Web of Science")</f>
        <v>View Full Record in Web of Science</v>
      </c>
    </row>
    <row r="782" spans="1:72" x14ac:dyDescent="0.15">
      <c r="A782" t="s">
        <v>72</v>
      </c>
      <c r="B782" t="s">
        <v>10382</v>
      </c>
      <c r="C782" t="s">
        <v>74</v>
      </c>
      <c r="D782" t="s">
        <v>74</v>
      </c>
      <c r="E782" t="s">
        <v>74</v>
      </c>
      <c r="F782" t="s">
        <v>10382</v>
      </c>
      <c r="G782" t="s">
        <v>74</v>
      </c>
      <c r="H782" t="s">
        <v>74</v>
      </c>
      <c r="I782" t="s">
        <v>10383</v>
      </c>
      <c r="J782" t="s">
        <v>10384</v>
      </c>
      <c r="K782" t="s">
        <v>74</v>
      </c>
      <c r="L782" t="s">
        <v>74</v>
      </c>
      <c r="M782" t="s">
        <v>77</v>
      </c>
      <c r="N782" t="s">
        <v>78</v>
      </c>
      <c r="O782" t="s">
        <v>74</v>
      </c>
      <c r="P782" t="s">
        <v>74</v>
      </c>
      <c r="Q782" t="s">
        <v>74</v>
      </c>
      <c r="R782" t="s">
        <v>74</v>
      </c>
      <c r="S782" t="s">
        <v>74</v>
      </c>
      <c r="T782" t="s">
        <v>10385</v>
      </c>
      <c r="U782" t="s">
        <v>10386</v>
      </c>
      <c r="V782" t="s">
        <v>10387</v>
      </c>
      <c r="W782" t="s">
        <v>10388</v>
      </c>
      <c r="X782" t="s">
        <v>10389</v>
      </c>
      <c r="Y782" t="s">
        <v>74</v>
      </c>
      <c r="Z782" t="s">
        <v>10390</v>
      </c>
      <c r="AA782" t="s">
        <v>10391</v>
      </c>
      <c r="AB782" t="s">
        <v>10392</v>
      </c>
      <c r="AC782" t="s">
        <v>74</v>
      </c>
      <c r="AD782" t="s">
        <v>74</v>
      </c>
      <c r="AE782" t="s">
        <v>74</v>
      </c>
      <c r="AF782" t="s">
        <v>74</v>
      </c>
      <c r="AG782">
        <v>58</v>
      </c>
      <c r="AH782">
        <v>42</v>
      </c>
      <c r="AI782">
        <v>49</v>
      </c>
      <c r="AJ782">
        <v>1</v>
      </c>
      <c r="AK782">
        <v>13</v>
      </c>
      <c r="AL782" t="s">
        <v>906</v>
      </c>
      <c r="AM782" t="s">
        <v>738</v>
      </c>
      <c r="AN782" t="s">
        <v>1253</v>
      </c>
      <c r="AO782" t="s">
        <v>10393</v>
      </c>
      <c r="AP782" t="s">
        <v>10394</v>
      </c>
      <c r="AQ782" t="s">
        <v>74</v>
      </c>
      <c r="AR782" t="s">
        <v>10395</v>
      </c>
      <c r="AS782" t="s">
        <v>10396</v>
      </c>
      <c r="AT782" t="s">
        <v>9645</v>
      </c>
      <c r="AU782">
        <v>2000</v>
      </c>
      <c r="AV782">
        <v>149</v>
      </c>
      <c r="AW782">
        <v>2</v>
      </c>
      <c r="AX782" t="s">
        <v>74</v>
      </c>
      <c r="AY782" t="s">
        <v>74</v>
      </c>
      <c r="AZ782" t="s">
        <v>74</v>
      </c>
      <c r="BA782" t="s">
        <v>74</v>
      </c>
      <c r="BB782">
        <v>207</v>
      </c>
      <c r="BC782">
        <v>217</v>
      </c>
      <c r="BD782" t="s">
        <v>74</v>
      </c>
      <c r="BE782" t="s">
        <v>10397</v>
      </c>
      <c r="BF782" t="str">
        <f>HYPERLINK("http://dx.doi.org/10.1023/A:1026531122302","http://dx.doi.org/10.1023/A:1026531122302")</f>
        <v>http://dx.doi.org/10.1023/A:1026531122302</v>
      </c>
      <c r="BG782" t="s">
        <v>74</v>
      </c>
      <c r="BH782" t="s">
        <v>74</v>
      </c>
      <c r="BI782">
        <v>11</v>
      </c>
      <c r="BJ782" t="s">
        <v>10398</v>
      </c>
      <c r="BK782" t="s">
        <v>94</v>
      </c>
      <c r="BL782" t="s">
        <v>10399</v>
      </c>
      <c r="BM782" t="s">
        <v>10400</v>
      </c>
      <c r="BN782" t="s">
        <v>74</v>
      </c>
      <c r="BO782" t="s">
        <v>74</v>
      </c>
      <c r="BP782" t="s">
        <v>74</v>
      </c>
      <c r="BQ782" t="s">
        <v>74</v>
      </c>
      <c r="BR782" t="s">
        <v>97</v>
      </c>
      <c r="BS782" t="s">
        <v>10401</v>
      </c>
      <c r="BT782" t="str">
        <f>HYPERLINK("https%3A%2F%2Fwww.webofscience.com%2Fwos%2Fwoscc%2Ffull-record%2FWOS:000165790400008","View Full Record in Web of Science")</f>
        <v>View Full Record in Web of Science</v>
      </c>
    </row>
    <row r="783" spans="1:72" x14ac:dyDescent="0.15">
      <c r="A783" t="s">
        <v>72</v>
      </c>
      <c r="B783" t="s">
        <v>10402</v>
      </c>
      <c r="C783" t="s">
        <v>74</v>
      </c>
      <c r="D783" t="s">
        <v>74</v>
      </c>
      <c r="E783" t="s">
        <v>74</v>
      </c>
      <c r="F783" t="s">
        <v>10402</v>
      </c>
      <c r="G783" t="s">
        <v>74</v>
      </c>
      <c r="H783" t="s">
        <v>74</v>
      </c>
      <c r="I783" t="s">
        <v>10403</v>
      </c>
      <c r="J783" t="s">
        <v>3842</v>
      </c>
      <c r="K783" t="s">
        <v>74</v>
      </c>
      <c r="L783" t="s">
        <v>74</v>
      </c>
      <c r="M783" t="s">
        <v>77</v>
      </c>
      <c r="N783" t="s">
        <v>78</v>
      </c>
      <c r="O783" t="s">
        <v>74</v>
      </c>
      <c r="P783" t="s">
        <v>74</v>
      </c>
      <c r="Q783" t="s">
        <v>74</v>
      </c>
      <c r="R783" t="s">
        <v>74</v>
      </c>
      <c r="S783" t="s">
        <v>74</v>
      </c>
      <c r="T783" t="s">
        <v>74</v>
      </c>
      <c r="U783" t="s">
        <v>10404</v>
      </c>
      <c r="V783" t="s">
        <v>10405</v>
      </c>
      <c r="W783" t="s">
        <v>8767</v>
      </c>
      <c r="X783" t="s">
        <v>8768</v>
      </c>
      <c r="Y783" t="s">
        <v>9374</v>
      </c>
      <c r="Z783" t="s">
        <v>74</v>
      </c>
      <c r="AA783" t="s">
        <v>10406</v>
      </c>
      <c r="AB783" t="s">
        <v>10407</v>
      </c>
      <c r="AC783" t="s">
        <v>74</v>
      </c>
      <c r="AD783" t="s">
        <v>74</v>
      </c>
      <c r="AE783" t="s">
        <v>74</v>
      </c>
      <c r="AF783" t="s">
        <v>74</v>
      </c>
      <c r="AG783">
        <v>36</v>
      </c>
      <c r="AH783">
        <v>9</v>
      </c>
      <c r="AI783">
        <v>9</v>
      </c>
      <c r="AJ783">
        <v>0</v>
      </c>
      <c r="AK783">
        <v>5</v>
      </c>
      <c r="AL783" t="s">
        <v>159</v>
      </c>
      <c r="AM783" t="s">
        <v>160</v>
      </c>
      <c r="AN783" t="s">
        <v>161</v>
      </c>
      <c r="AO783" t="s">
        <v>3848</v>
      </c>
      <c r="AP783" t="s">
        <v>74</v>
      </c>
      <c r="AQ783" t="s">
        <v>74</v>
      </c>
      <c r="AR783" t="s">
        <v>3849</v>
      </c>
      <c r="AS783" t="s">
        <v>3850</v>
      </c>
      <c r="AT783" t="s">
        <v>9645</v>
      </c>
      <c r="AU783">
        <v>2000</v>
      </c>
      <c r="AV783">
        <v>23</v>
      </c>
      <c r="AW783">
        <v>8</v>
      </c>
      <c r="AX783" t="s">
        <v>74</v>
      </c>
      <c r="AY783" t="s">
        <v>74</v>
      </c>
      <c r="AZ783" t="s">
        <v>74</v>
      </c>
      <c r="BA783" t="s">
        <v>74</v>
      </c>
      <c r="BB783">
        <v>522</v>
      </c>
      <c r="BC783">
        <v>530</v>
      </c>
      <c r="BD783" t="s">
        <v>74</v>
      </c>
      <c r="BE783" t="s">
        <v>10408</v>
      </c>
      <c r="BF783" t="str">
        <f>HYPERLINK("http://dx.doi.org/10.1007/s003000000116","http://dx.doi.org/10.1007/s003000000116")</f>
        <v>http://dx.doi.org/10.1007/s003000000116</v>
      </c>
      <c r="BG783" t="s">
        <v>74</v>
      </c>
      <c r="BH783" t="s">
        <v>74</v>
      </c>
      <c r="BI783">
        <v>9</v>
      </c>
      <c r="BJ783" t="s">
        <v>3852</v>
      </c>
      <c r="BK783" t="s">
        <v>94</v>
      </c>
      <c r="BL783" t="s">
        <v>1103</v>
      </c>
      <c r="BM783" t="s">
        <v>10409</v>
      </c>
      <c r="BN783" t="s">
        <v>74</v>
      </c>
      <c r="BO783" t="s">
        <v>74</v>
      </c>
      <c r="BP783" t="s">
        <v>74</v>
      </c>
      <c r="BQ783" t="s">
        <v>74</v>
      </c>
      <c r="BR783" t="s">
        <v>97</v>
      </c>
      <c r="BS783" t="s">
        <v>10410</v>
      </c>
      <c r="BT783" t="str">
        <f>HYPERLINK("https%3A%2F%2Fwww.webofscience.com%2Fwos%2Fwoscc%2Ffull-record%2FWOS:000088707400002","View Full Record in Web of Science")</f>
        <v>View Full Record in Web of Science</v>
      </c>
    </row>
    <row r="784" spans="1:72" x14ac:dyDescent="0.15">
      <c r="A784" t="s">
        <v>72</v>
      </c>
      <c r="B784" t="s">
        <v>10411</v>
      </c>
      <c r="C784" t="s">
        <v>74</v>
      </c>
      <c r="D784" t="s">
        <v>74</v>
      </c>
      <c r="E784" t="s">
        <v>74</v>
      </c>
      <c r="F784" t="s">
        <v>10411</v>
      </c>
      <c r="G784" t="s">
        <v>74</v>
      </c>
      <c r="H784" t="s">
        <v>74</v>
      </c>
      <c r="I784" t="s">
        <v>10412</v>
      </c>
      <c r="J784" t="s">
        <v>3842</v>
      </c>
      <c r="K784" t="s">
        <v>74</v>
      </c>
      <c r="L784" t="s">
        <v>74</v>
      </c>
      <c r="M784" t="s">
        <v>77</v>
      </c>
      <c r="N784" t="s">
        <v>78</v>
      </c>
      <c r="O784" t="s">
        <v>74</v>
      </c>
      <c r="P784" t="s">
        <v>74</v>
      </c>
      <c r="Q784" t="s">
        <v>74</v>
      </c>
      <c r="R784" t="s">
        <v>74</v>
      </c>
      <c r="S784" t="s">
        <v>74</v>
      </c>
      <c r="T784" t="s">
        <v>74</v>
      </c>
      <c r="U784" t="s">
        <v>10413</v>
      </c>
      <c r="V784" t="s">
        <v>10414</v>
      </c>
      <c r="W784" t="s">
        <v>10415</v>
      </c>
      <c r="X784" t="s">
        <v>10416</v>
      </c>
      <c r="Y784" t="s">
        <v>10417</v>
      </c>
      <c r="Z784" t="s">
        <v>10418</v>
      </c>
      <c r="AA784" t="s">
        <v>10419</v>
      </c>
      <c r="AB784" t="s">
        <v>74</v>
      </c>
      <c r="AC784" t="s">
        <v>74</v>
      </c>
      <c r="AD784" t="s">
        <v>74</v>
      </c>
      <c r="AE784" t="s">
        <v>74</v>
      </c>
      <c r="AF784" t="s">
        <v>74</v>
      </c>
      <c r="AG784">
        <v>48</v>
      </c>
      <c r="AH784">
        <v>21</v>
      </c>
      <c r="AI784">
        <v>27</v>
      </c>
      <c r="AJ784">
        <v>1</v>
      </c>
      <c r="AK784">
        <v>9</v>
      </c>
      <c r="AL784" t="s">
        <v>906</v>
      </c>
      <c r="AM784" t="s">
        <v>160</v>
      </c>
      <c r="AN784" t="s">
        <v>928</v>
      </c>
      <c r="AO784" t="s">
        <v>3848</v>
      </c>
      <c r="AP784" t="s">
        <v>3871</v>
      </c>
      <c r="AQ784" t="s">
        <v>74</v>
      </c>
      <c r="AR784" t="s">
        <v>3849</v>
      </c>
      <c r="AS784" t="s">
        <v>3850</v>
      </c>
      <c r="AT784" t="s">
        <v>9645</v>
      </c>
      <c r="AU784">
        <v>2000</v>
      </c>
      <c r="AV784">
        <v>23</v>
      </c>
      <c r="AW784">
        <v>8</v>
      </c>
      <c r="AX784" t="s">
        <v>74</v>
      </c>
      <c r="AY784" t="s">
        <v>74</v>
      </c>
      <c r="AZ784" t="s">
        <v>74</v>
      </c>
      <c r="BA784" t="s">
        <v>74</v>
      </c>
      <c r="BB784">
        <v>531</v>
      </c>
      <c r="BC784">
        <v>538</v>
      </c>
      <c r="BD784" t="s">
        <v>74</v>
      </c>
      <c r="BE784" t="s">
        <v>10420</v>
      </c>
      <c r="BF784" t="str">
        <f>HYPERLINK("http://dx.doi.org/10.1007/s003000000117","http://dx.doi.org/10.1007/s003000000117")</f>
        <v>http://dx.doi.org/10.1007/s003000000117</v>
      </c>
      <c r="BG784" t="s">
        <v>74</v>
      </c>
      <c r="BH784" t="s">
        <v>74</v>
      </c>
      <c r="BI784">
        <v>8</v>
      </c>
      <c r="BJ784" t="s">
        <v>3852</v>
      </c>
      <c r="BK784" t="s">
        <v>94</v>
      </c>
      <c r="BL784" t="s">
        <v>1103</v>
      </c>
      <c r="BM784" t="s">
        <v>10409</v>
      </c>
      <c r="BN784" t="s">
        <v>74</v>
      </c>
      <c r="BO784" t="s">
        <v>74</v>
      </c>
      <c r="BP784" t="s">
        <v>74</v>
      </c>
      <c r="BQ784" t="s">
        <v>74</v>
      </c>
      <c r="BR784" t="s">
        <v>97</v>
      </c>
      <c r="BS784" t="s">
        <v>10421</v>
      </c>
      <c r="BT784" t="str">
        <f>HYPERLINK("https%3A%2F%2Fwww.webofscience.com%2Fwos%2Fwoscc%2Ffull-record%2FWOS:000088707400003","View Full Record in Web of Science")</f>
        <v>View Full Record in Web of Science</v>
      </c>
    </row>
    <row r="785" spans="1:72" x14ac:dyDescent="0.15">
      <c r="A785" t="s">
        <v>72</v>
      </c>
      <c r="B785" t="s">
        <v>10422</v>
      </c>
      <c r="C785" t="s">
        <v>74</v>
      </c>
      <c r="D785" t="s">
        <v>74</v>
      </c>
      <c r="E785" t="s">
        <v>74</v>
      </c>
      <c r="F785" t="s">
        <v>10422</v>
      </c>
      <c r="G785" t="s">
        <v>74</v>
      </c>
      <c r="H785" t="s">
        <v>74</v>
      </c>
      <c r="I785" t="s">
        <v>10423</v>
      </c>
      <c r="J785" t="s">
        <v>3842</v>
      </c>
      <c r="K785" t="s">
        <v>74</v>
      </c>
      <c r="L785" t="s">
        <v>74</v>
      </c>
      <c r="M785" t="s">
        <v>77</v>
      </c>
      <c r="N785" t="s">
        <v>78</v>
      </c>
      <c r="O785" t="s">
        <v>74</v>
      </c>
      <c r="P785" t="s">
        <v>74</v>
      </c>
      <c r="Q785" t="s">
        <v>74</v>
      </c>
      <c r="R785" t="s">
        <v>74</v>
      </c>
      <c r="S785" t="s">
        <v>74</v>
      </c>
      <c r="T785" t="s">
        <v>74</v>
      </c>
      <c r="U785" t="s">
        <v>10424</v>
      </c>
      <c r="V785" t="s">
        <v>10425</v>
      </c>
      <c r="W785" t="s">
        <v>6767</v>
      </c>
      <c r="X785" t="s">
        <v>221</v>
      </c>
      <c r="Y785" t="s">
        <v>10426</v>
      </c>
      <c r="Z785" t="s">
        <v>74</v>
      </c>
      <c r="AA785" t="s">
        <v>74</v>
      </c>
      <c r="AB785" t="s">
        <v>74</v>
      </c>
      <c r="AC785" t="s">
        <v>74</v>
      </c>
      <c r="AD785" t="s">
        <v>74</v>
      </c>
      <c r="AE785" t="s">
        <v>74</v>
      </c>
      <c r="AF785" t="s">
        <v>74</v>
      </c>
      <c r="AG785">
        <v>22</v>
      </c>
      <c r="AH785">
        <v>15</v>
      </c>
      <c r="AI785">
        <v>20</v>
      </c>
      <c r="AJ785">
        <v>0</v>
      </c>
      <c r="AK785">
        <v>7</v>
      </c>
      <c r="AL785" t="s">
        <v>159</v>
      </c>
      <c r="AM785" t="s">
        <v>160</v>
      </c>
      <c r="AN785" t="s">
        <v>161</v>
      </c>
      <c r="AO785" t="s">
        <v>3848</v>
      </c>
      <c r="AP785" t="s">
        <v>74</v>
      </c>
      <c r="AQ785" t="s">
        <v>74</v>
      </c>
      <c r="AR785" t="s">
        <v>3849</v>
      </c>
      <c r="AS785" t="s">
        <v>3850</v>
      </c>
      <c r="AT785" t="s">
        <v>9645</v>
      </c>
      <c r="AU785">
        <v>2000</v>
      </c>
      <c r="AV785">
        <v>23</v>
      </c>
      <c r="AW785">
        <v>8</v>
      </c>
      <c r="AX785" t="s">
        <v>74</v>
      </c>
      <c r="AY785" t="s">
        <v>74</v>
      </c>
      <c r="AZ785" t="s">
        <v>74</v>
      </c>
      <c r="BA785" t="s">
        <v>74</v>
      </c>
      <c r="BB785">
        <v>575</v>
      </c>
      <c r="BC785">
        <v>579</v>
      </c>
      <c r="BD785" t="s">
        <v>74</v>
      </c>
      <c r="BE785" t="s">
        <v>10427</v>
      </c>
      <c r="BF785" t="str">
        <f>HYPERLINK("http://dx.doi.org/10.1007/s003000000128","http://dx.doi.org/10.1007/s003000000128")</f>
        <v>http://dx.doi.org/10.1007/s003000000128</v>
      </c>
      <c r="BG785" t="s">
        <v>74</v>
      </c>
      <c r="BH785" t="s">
        <v>74</v>
      </c>
      <c r="BI785">
        <v>5</v>
      </c>
      <c r="BJ785" t="s">
        <v>3852</v>
      </c>
      <c r="BK785" t="s">
        <v>94</v>
      </c>
      <c r="BL785" t="s">
        <v>1103</v>
      </c>
      <c r="BM785" t="s">
        <v>10409</v>
      </c>
      <c r="BN785" t="s">
        <v>74</v>
      </c>
      <c r="BO785" t="s">
        <v>74</v>
      </c>
      <c r="BP785" t="s">
        <v>74</v>
      </c>
      <c r="BQ785" t="s">
        <v>74</v>
      </c>
      <c r="BR785" t="s">
        <v>97</v>
      </c>
      <c r="BS785" t="s">
        <v>10428</v>
      </c>
      <c r="BT785" t="str">
        <f>HYPERLINK("https%3A%2F%2Fwww.webofscience.com%2Fwos%2Fwoscc%2Ffull-record%2FWOS:000088707400010","View Full Record in Web of Science")</f>
        <v>View Full Record in Web of Science</v>
      </c>
    </row>
    <row r="786" spans="1:72" x14ac:dyDescent="0.15">
      <c r="A786" t="s">
        <v>72</v>
      </c>
      <c r="B786" t="s">
        <v>10429</v>
      </c>
      <c r="C786" t="s">
        <v>74</v>
      </c>
      <c r="D786" t="s">
        <v>74</v>
      </c>
      <c r="E786" t="s">
        <v>74</v>
      </c>
      <c r="F786" t="s">
        <v>10429</v>
      </c>
      <c r="G786" t="s">
        <v>74</v>
      </c>
      <c r="H786" t="s">
        <v>74</v>
      </c>
      <c r="I786" t="s">
        <v>10430</v>
      </c>
      <c r="J786" t="s">
        <v>7322</v>
      </c>
      <c r="K786" t="s">
        <v>74</v>
      </c>
      <c r="L786" t="s">
        <v>74</v>
      </c>
      <c r="M786" t="s">
        <v>77</v>
      </c>
      <c r="N786" t="s">
        <v>78</v>
      </c>
      <c r="O786" t="s">
        <v>74</v>
      </c>
      <c r="P786" t="s">
        <v>74</v>
      </c>
      <c r="Q786" t="s">
        <v>74</v>
      </c>
      <c r="R786" t="s">
        <v>74</v>
      </c>
      <c r="S786" t="s">
        <v>74</v>
      </c>
      <c r="T786" t="s">
        <v>10431</v>
      </c>
      <c r="U786" t="s">
        <v>10432</v>
      </c>
      <c r="V786" t="s">
        <v>10433</v>
      </c>
      <c r="W786" t="s">
        <v>10434</v>
      </c>
      <c r="X786" t="s">
        <v>10435</v>
      </c>
      <c r="Y786" t="s">
        <v>10436</v>
      </c>
      <c r="Z786" t="s">
        <v>10437</v>
      </c>
      <c r="AA786" t="s">
        <v>10438</v>
      </c>
      <c r="AB786" t="s">
        <v>10439</v>
      </c>
      <c r="AC786" t="s">
        <v>74</v>
      </c>
      <c r="AD786" t="s">
        <v>74</v>
      </c>
      <c r="AE786" t="s">
        <v>74</v>
      </c>
      <c r="AF786" t="s">
        <v>74</v>
      </c>
      <c r="AG786">
        <v>56</v>
      </c>
      <c r="AH786">
        <v>223</v>
      </c>
      <c r="AI786">
        <v>234</v>
      </c>
      <c r="AJ786">
        <v>0</v>
      </c>
      <c r="AK786">
        <v>7</v>
      </c>
      <c r="AL786" t="s">
        <v>1823</v>
      </c>
      <c r="AM786" t="s">
        <v>1121</v>
      </c>
      <c r="AN786" t="s">
        <v>1824</v>
      </c>
      <c r="AO786" t="s">
        <v>7331</v>
      </c>
      <c r="AP786" t="s">
        <v>10440</v>
      </c>
      <c r="AQ786" t="s">
        <v>74</v>
      </c>
      <c r="AR786" t="s">
        <v>7332</v>
      </c>
      <c r="AS786" t="s">
        <v>7333</v>
      </c>
      <c r="AT786" t="s">
        <v>9645</v>
      </c>
      <c r="AU786">
        <v>2000</v>
      </c>
      <c r="AV786">
        <v>102</v>
      </c>
      <c r="AW786" t="s">
        <v>1046</v>
      </c>
      <c r="AX786" t="s">
        <v>74</v>
      </c>
      <c r="AY786" t="s">
        <v>74</v>
      </c>
      <c r="AZ786" t="s">
        <v>74</v>
      </c>
      <c r="BA786" t="s">
        <v>74</v>
      </c>
      <c r="BB786">
        <v>155</v>
      </c>
      <c r="BC786">
        <v>183</v>
      </c>
      <c r="BD786" t="s">
        <v>74</v>
      </c>
      <c r="BE786" t="s">
        <v>10441</v>
      </c>
      <c r="BF786" t="str">
        <f>HYPERLINK("http://dx.doi.org/10.1016/S0301-9268(00)00063-2","http://dx.doi.org/10.1016/S0301-9268(00)00063-2")</f>
        <v>http://dx.doi.org/10.1016/S0301-9268(00)00063-2</v>
      </c>
      <c r="BG786" t="s">
        <v>74</v>
      </c>
      <c r="BH786" t="s">
        <v>74</v>
      </c>
      <c r="BI786">
        <v>29</v>
      </c>
      <c r="BJ786" t="s">
        <v>595</v>
      </c>
      <c r="BK786" t="s">
        <v>94</v>
      </c>
      <c r="BL786" t="s">
        <v>597</v>
      </c>
      <c r="BM786" t="s">
        <v>10442</v>
      </c>
      <c r="BN786" t="s">
        <v>74</v>
      </c>
      <c r="BO786" t="s">
        <v>74</v>
      </c>
      <c r="BP786" t="s">
        <v>74</v>
      </c>
      <c r="BQ786" t="s">
        <v>74</v>
      </c>
      <c r="BR786" t="s">
        <v>97</v>
      </c>
      <c r="BS786" t="s">
        <v>10443</v>
      </c>
      <c r="BT786" t="str">
        <f>HYPERLINK("https%3A%2F%2Fwww.webofscience.com%2Fwos%2Fwoscc%2Ffull-record%2FWOS:000087411300001","View Full Record in Web of Science")</f>
        <v>View Full Record in Web of Science</v>
      </c>
    </row>
    <row r="787" spans="1:72" x14ac:dyDescent="0.15">
      <c r="A787" t="s">
        <v>72</v>
      </c>
      <c r="B787" t="s">
        <v>10444</v>
      </c>
      <c r="C787" t="s">
        <v>74</v>
      </c>
      <c r="D787" t="s">
        <v>74</v>
      </c>
      <c r="E787" t="s">
        <v>74</v>
      </c>
      <c r="F787" t="s">
        <v>10444</v>
      </c>
      <c r="G787" t="s">
        <v>74</v>
      </c>
      <c r="H787" t="s">
        <v>74</v>
      </c>
      <c r="I787" t="s">
        <v>10445</v>
      </c>
      <c r="J787" t="s">
        <v>10446</v>
      </c>
      <c r="K787" t="s">
        <v>74</v>
      </c>
      <c r="L787" t="s">
        <v>74</v>
      </c>
      <c r="M787" t="s">
        <v>77</v>
      </c>
      <c r="N787" t="s">
        <v>78</v>
      </c>
      <c r="O787" t="s">
        <v>74</v>
      </c>
      <c r="P787" t="s">
        <v>74</v>
      </c>
      <c r="Q787" t="s">
        <v>74</v>
      </c>
      <c r="R787" t="s">
        <v>74</v>
      </c>
      <c r="S787" t="s">
        <v>74</v>
      </c>
      <c r="T787" t="s">
        <v>10447</v>
      </c>
      <c r="U787" t="s">
        <v>10448</v>
      </c>
      <c r="V787" t="s">
        <v>10449</v>
      </c>
      <c r="W787" t="s">
        <v>10450</v>
      </c>
      <c r="X787" t="s">
        <v>10451</v>
      </c>
      <c r="Y787" t="s">
        <v>10452</v>
      </c>
      <c r="Z787" t="s">
        <v>10453</v>
      </c>
      <c r="AA787" t="s">
        <v>10454</v>
      </c>
      <c r="AB787" t="s">
        <v>10455</v>
      </c>
      <c r="AC787" t="s">
        <v>74</v>
      </c>
      <c r="AD787" t="s">
        <v>74</v>
      </c>
      <c r="AE787" t="s">
        <v>74</v>
      </c>
      <c r="AF787" t="s">
        <v>74</v>
      </c>
      <c r="AG787">
        <v>26</v>
      </c>
      <c r="AH787">
        <v>22</v>
      </c>
      <c r="AI787">
        <v>24</v>
      </c>
      <c r="AJ787">
        <v>0</v>
      </c>
      <c r="AK787">
        <v>8</v>
      </c>
      <c r="AL787" t="s">
        <v>1823</v>
      </c>
      <c r="AM787" t="s">
        <v>1121</v>
      </c>
      <c r="AN787" t="s">
        <v>1824</v>
      </c>
      <c r="AO787" t="s">
        <v>10456</v>
      </c>
      <c r="AP787" t="s">
        <v>74</v>
      </c>
      <c r="AQ787" t="s">
        <v>74</v>
      </c>
      <c r="AR787" t="s">
        <v>10457</v>
      </c>
      <c r="AS787" t="s">
        <v>10458</v>
      </c>
      <c r="AT787" t="s">
        <v>9645</v>
      </c>
      <c r="AU787">
        <v>2000</v>
      </c>
      <c r="AV787">
        <v>122</v>
      </c>
      <c r="AW787">
        <v>1</v>
      </c>
      <c r="AX787" t="s">
        <v>74</v>
      </c>
      <c r="AY787" t="s">
        <v>74</v>
      </c>
      <c r="AZ787" t="s">
        <v>74</v>
      </c>
      <c r="BA787" t="s">
        <v>74</v>
      </c>
      <c r="BB787">
        <v>71</v>
      </c>
      <c r="BC787">
        <v>80</v>
      </c>
      <c r="BD787" t="s">
        <v>74</v>
      </c>
      <c r="BE787" t="s">
        <v>10459</v>
      </c>
      <c r="BF787" t="str">
        <f>HYPERLINK("http://dx.doi.org/10.1016/S0034-5687(00)00139-0","http://dx.doi.org/10.1016/S0034-5687(00)00139-0")</f>
        <v>http://dx.doi.org/10.1016/S0034-5687(00)00139-0</v>
      </c>
      <c r="BG787" t="s">
        <v>74</v>
      </c>
      <c r="BH787" t="s">
        <v>74</v>
      </c>
      <c r="BI787">
        <v>10</v>
      </c>
      <c r="BJ787" t="s">
        <v>10460</v>
      </c>
      <c r="BK787" t="s">
        <v>94</v>
      </c>
      <c r="BL787" t="s">
        <v>10460</v>
      </c>
      <c r="BM787" t="s">
        <v>10461</v>
      </c>
      <c r="BN787">
        <v>10936602</v>
      </c>
      <c r="BO787" t="s">
        <v>74</v>
      </c>
      <c r="BP787" t="s">
        <v>74</v>
      </c>
      <c r="BQ787" t="s">
        <v>74</v>
      </c>
      <c r="BR787" t="s">
        <v>97</v>
      </c>
      <c r="BS787" t="s">
        <v>10462</v>
      </c>
      <c r="BT787" t="str">
        <f>HYPERLINK("https%3A%2F%2Fwww.webofscience.com%2Fwos%2Fwoscc%2Ffull-record%2FWOS:000088613300007","View Full Record in Web of Science")</f>
        <v>View Full Record in Web of Science</v>
      </c>
    </row>
    <row r="788" spans="1:72" x14ac:dyDescent="0.15">
      <c r="A788" t="s">
        <v>72</v>
      </c>
      <c r="B788" t="s">
        <v>956</v>
      </c>
      <c r="C788" t="s">
        <v>74</v>
      </c>
      <c r="D788" t="s">
        <v>74</v>
      </c>
      <c r="E788" t="s">
        <v>74</v>
      </c>
      <c r="F788" t="s">
        <v>956</v>
      </c>
      <c r="G788" t="s">
        <v>74</v>
      </c>
      <c r="H788" t="s">
        <v>74</v>
      </c>
      <c r="I788" t="s">
        <v>10463</v>
      </c>
      <c r="J788" t="s">
        <v>6055</v>
      </c>
      <c r="K788" t="s">
        <v>74</v>
      </c>
      <c r="L788" t="s">
        <v>74</v>
      </c>
      <c r="M788" t="s">
        <v>77</v>
      </c>
      <c r="N788" t="s">
        <v>78</v>
      </c>
      <c r="O788" t="s">
        <v>74</v>
      </c>
      <c r="P788" t="s">
        <v>74</v>
      </c>
      <c r="Q788" t="s">
        <v>74</v>
      </c>
      <c r="R788" t="s">
        <v>74</v>
      </c>
      <c r="S788" t="s">
        <v>74</v>
      </c>
      <c r="T788" t="s">
        <v>10464</v>
      </c>
      <c r="U788" t="s">
        <v>10465</v>
      </c>
      <c r="V788" t="s">
        <v>10466</v>
      </c>
      <c r="W788" t="s">
        <v>833</v>
      </c>
      <c r="X788" t="s">
        <v>221</v>
      </c>
      <c r="Y788" t="s">
        <v>961</v>
      </c>
      <c r="Z788" t="s">
        <v>9290</v>
      </c>
      <c r="AA788" t="s">
        <v>10467</v>
      </c>
      <c r="AB788" t="s">
        <v>10468</v>
      </c>
      <c r="AC788" t="s">
        <v>74</v>
      </c>
      <c r="AD788" t="s">
        <v>74</v>
      </c>
      <c r="AE788" t="s">
        <v>74</v>
      </c>
      <c r="AF788" t="s">
        <v>74</v>
      </c>
      <c r="AG788">
        <v>59</v>
      </c>
      <c r="AH788">
        <v>72</v>
      </c>
      <c r="AI788">
        <v>79</v>
      </c>
      <c r="AJ788">
        <v>1</v>
      </c>
      <c r="AK788">
        <v>5</v>
      </c>
      <c r="AL788" t="s">
        <v>1120</v>
      </c>
      <c r="AM788" t="s">
        <v>1121</v>
      </c>
      <c r="AN788" t="s">
        <v>2394</v>
      </c>
      <c r="AO788" t="s">
        <v>6064</v>
      </c>
      <c r="AP788" t="s">
        <v>6065</v>
      </c>
      <c r="AQ788" t="s">
        <v>74</v>
      </c>
      <c r="AR788" t="s">
        <v>6066</v>
      </c>
      <c r="AS788" t="s">
        <v>6067</v>
      </c>
      <c r="AT788" t="s">
        <v>9645</v>
      </c>
      <c r="AU788">
        <v>2000</v>
      </c>
      <c r="AV788">
        <v>111</v>
      </c>
      <c r="AW788" t="s">
        <v>870</v>
      </c>
      <c r="AX788" t="s">
        <v>74</v>
      </c>
      <c r="AY788" t="s">
        <v>74</v>
      </c>
      <c r="AZ788" t="s">
        <v>74</v>
      </c>
      <c r="BA788" t="s">
        <v>74</v>
      </c>
      <c r="BB788">
        <v>1</v>
      </c>
      <c r="BC788">
        <v>17</v>
      </c>
      <c r="BD788" t="s">
        <v>74</v>
      </c>
      <c r="BE788" t="s">
        <v>10469</v>
      </c>
      <c r="BF788" t="str">
        <f>HYPERLINK("http://dx.doi.org/10.1016/S0034-6667(00)00012-9","http://dx.doi.org/10.1016/S0034-6667(00)00012-9")</f>
        <v>http://dx.doi.org/10.1016/S0034-6667(00)00012-9</v>
      </c>
      <c r="BG788" t="s">
        <v>74</v>
      </c>
      <c r="BH788" t="s">
        <v>74</v>
      </c>
      <c r="BI788">
        <v>17</v>
      </c>
      <c r="BJ788" t="s">
        <v>6069</v>
      </c>
      <c r="BK788" t="s">
        <v>94</v>
      </c>
      <c r="BL788" t="s">
        <v>6069</v>
      </c>
      <c r="BM788" t="s">
        <v>10470</v>
      </c>
      <c r="BN788">
        <v>10936603</v>
      </c>
      <c r="BO788" t="s">
        <v>74</v>
      </c>
      <c r="BP788" t="s">
        <v>74</v>
      </c>
      <c r="BQ788" t="s">
        <v>74</v>
      </c>
      <c r="BR788" t="s">
        <v>97</v>
      </c>
      <c r="BS788" t="s">
        <v>10471</v>
      </c>
      <c r="BT788" t="str">
        <f>HYPERLINK("https%3A%2F%2Fwww.webofscience.com%2Fwos%2Fwoscc%2Ffull-record%2FWOS:000089282800001","View Full Record in Web of Science")</f>
        <v>View Full Record in Web of Science</v>
      </c>
    </row>
    <row r="789" spans="1:72" x14ac:dyDescent="0.15">
      <c r="A789" t="s">
        <v>72</v>
      </c>
      <c r="B789" t="s">
        <v>10472</v>
      </c>
      <c r="C789" t="s">
        <v>74</v>
      </c>
      <c r="D789" t="s">
        <v>74</v>
      </c>
      <c r="E789" t="s">
        <v>74</v>
      </c>
      <c r="F789" t="s">
        <v>10472</v>
      </c>
      <c r="G789" t="s">
        <v>74</v>
      </c>
      <c r="H789" t="s">
        <v>74</v>
      </c>
      <c r="I789" t="s">
        <v>10473</v>
      </c>
      <c r="J789" t="s">
        <v>6055</v>
      </c>
      <c r="K789" t="s">
        <v>74</v>
      </c>
      <c r="L789" t="s">
        <v>74</v>
      </c>
      <c r="M789" t="s">
        <v>77</v>
      </c>
      <c r="N789" t="s">
        <v>78</v>
      </c>
      <c r="O789" t="s">
        <v>74</v>
      </c>
      <c r="P789" t="s">
        <v>74</v>
      </c>
      <c r="Q789" t="s">
        <v>74</v>
      </c>
      <c r="R789" t="s">
        <v>74</v>
      </c>
      <c r="S789" t="s">
        <v>74</v>
      </c>
      <c r="T789" t="s">
        <v>10474</v>
      </c>
      <c r="U789" t="s">
        <v>10475</v>
      </c>
      <c r="V789" t="s">
        <v>10476</v>
      </c>
      <c r="W789" t="s">
        <v>10477</v>
      </c>
      <c r="X789" t="s">
        <v>7293</v>
      </c>
      <c r="Y789" t="s">
        <v>10478</v>
      </c>
      <c r="Z789" t="s">
        <v>10479</v>
      </c>
      <c r="AA789" t="s">
        <v>10480</v>
      </c>
      <c r="AB789" t="s">
        <v>964</v>
      </c>
      <c r="AC789" t="s">
        <v>74</v>
      </c>
      <c r="AD789" t="s">
        <v>74</v>
      </c>
      <c r="AE789" t="s">
        <v>74</v>
      </c>
      <c r="AF789" t="s">
        <v>74</v>
      </c>
      <c r="AG789">
        <v>92</v>
      </c>
      <c r="AH789">
        <v>42</v>
      </c>
      <c r="AI789">
        <v>44</v>
      </c>
      <c r="AJ789">
        <v>1</v>
      </c>
      <c r="AK789">
        <v>6</v>
      </c>
      <c r="AL789" t="s">
        <v>1823</v>
      </c>
      <c r="AM789" t="s">
        <v>1121</v>
      </c>
      <c r="AN789" t="s">
        <v>1824</v>
      </c>
      <c r="AO789" t="s">
        <v>6064</v>
      </c>
      <c r="AP789" t="s">
        <v>6065</v>
      </c>
      <c r="AQ789" t="s">
        <v>74</v>
      </c>
      <c r="AR789" t="s">
        <v>6066</v>
      </c>
      <c r="AS789" t="s">
        <v>6067</v>
      </c>
      <c r="AT789" t="s">
        <v>9645</v>
      </c>
      <c r="AU789">
        <v>2000</v>
      </c>
      <c r="AV789">
        <v>111</v>
      </c>
      <c r="AW789" t="s">
        <v>870</v>
      </c>
      <c r="AX789" t="s">
        <v>74</v>
      </c>
      <c r="AY789" t="s">
        <v>74</v>
      </c>
      <c r="AZ789" t="s">
        <v>74</v>
      </c>
      <c r="BA789" t="s">
        <v>74</v>
      </c>
      <c r="BB789">
        <v>127</v>
      </c>
      <c r="BC789">
        <v>144</v>
      </c>
      <c r="BD789" t="s">
        <v>74</v>
      </c>
      <c r="BE789" t="s">
        <v>10481</v>
      </c>
      <c r="BF789" t="str">
        <f>HYPERLINK("http://dx.doi.org/10.1016/S0034-6667(00)00023-3","http://dx.doi.org/10.1016/S0034-6667(00)00023-3")</f>
        <v>http://dx.doi.org/10.1016/S0034-6667(00)00023-3</v>
      </c>
      <c r="BG789" t="s">
        <v>74</v>
      </c>
      <c r="BH789" t="s">
        <v>74</v>
      </c>
      <c r="BI789">
        <v>18</v>
      </c>
      <c r="BJ789" t="s">
        <v>6069</v>
      </c>
      <c r="BK789" t="s">
        <v>94</v>
      </c>
      <c r="BL789" t="s">
        <v>6069</v>
      </c>
      <c r="BM789" t="s">
        <v>10470</v>
      </c>
      <c r="BN789">
        <v>10936611</v>
      </c>
      <c r="BO789" t="s">
        <v>74</v>
      </c>
      <c r="BP789" t="s">
        <v>74</v>
      </c>
      <c r="BQ789" t="s">
        <v>74</v>
      </c>
      <c r="BR789" t="s">
        <v>97</v>
      </c>
      <c r="BS789" t="s">
        <v>10482</v>
      </c>
      <c r="BT789" t="str">
        <f>HYPERLINK("https%3A%2F%2Fwww.webofscience.com%2Fwos%2Fwoscc%2Ffull-record%2FWOS:000089282800009","View Full Record in Web of Science")</f>
        <v>View Full Record in Web of Science</v>
      </c>
    </row>
    <row r="790" spans="1:72" x14ac:dyDescent="0.15">
      <c r="A790" t="s">
        <v>72</v>
      </c>
      <c r="B790" t="s">
        <v>10483</v>
      </c>
      <c r="C790" t="s">
        <v>74</v>
      </c>
      <c r="D790" t="s">
        <v>74</v>
      </c>
      <c r="E790" t="s">
        <v>74</v>
      </c>
      <c r="F790" t="s">
        <v>10483</v>
      </c>
      <c r="G790" t="s">
        <v>74</v>
      </c>
      <c r="H790" t="s">
        <v>74</v>
      </c>
      <c r="I790" t="s">
        <v>10484</v>
      </c>
      <c r="J790" t="s">
        <v>10485</v>
      </c>
      <c r="K790" t="s">
        <v>74</v>
      </c>
      <c r="L790" t="s">
        <v>74</v>
      </c>
      <c r="M790" t="s">
        <v>77</v>
      </c>
      <c r="N790" t="s">
        <v>236</v>
      </c>
      <c r="O790" t="s">
        <v>74</v>
      </c>
      <c r="P790" t="s">
        <v>74</v>
      </c>
      <c r="Q790" t="s">
        <v>74</v>
      </c>
      <c r="R790" t="s">
        <v>74</v>
      </c>
      <c r="S790" t="s">
        <v>74</v>
      </c>
      <c r="T790" t="s">
        <v>74</v>
      </c>
      <c r="U790" t="s">
        <v>10486</v>
      </c>
      <c r="V790" t="s">
        <v>10487</v>
      </c>
      <c r="W790" t="s">
        <v>10488</v>
      </c>
      <c r="X790" t="s">
        <v>10489</v>
      </c>
      <c r="Y790" t="s">
        <v>10490</v>
      </c>
      <c r="Z790" t="s">
        <v>74</v>
      </c>
      <c r="AA790" t="s">
        <v>10491</v>
      </c>
      <c r="AB790" t="s">
        <v>10492</v>
      </c>
      <c r="AC790" t="s">
        <v>74</v>
      </c>
      <c r="AD790" t="s">
        <v>74</v>
      </c>
      <c r="AE790" t="s">
        <v>74</v>
      </c>
      <c r="AF790" t="s">
        <v>74</v>
      </c>
      <c r="AG790">
        <v>170</v>
      </c>
      <c r="AH790">
        <v>162</v>
      </c>
      <c r="AI790">
        <v>178</v>
      </c>
      <c r="AJ790">
        <v>7</v>
      </c>
      <c r="AK790">
        <v>151</v>
      </c>
      <c r="AL790" t="s">
        <v>4495</v>
      </c>
      <c r="AM790" t="s">
        <v>4496</v>
      </c>
      <c r="AN790" t="s">
        <v>4497</v>
      </c>
      <c r="AO790" t="s">
        <v>10493</v>
      </c>
      <c r="AP790" t="s">
        <v>74</v>
      </c>
      <c r="AQ790" t="s">
        <v>74</v>
      </c>
      <c r="AR790" t="s">
        <v>10494</v>
      </c>
      <c r="AS790" t="s">
        <v>10495</v>
      </c>
      <c r="AT790" t="s">
        <v>9645</v>
      </c>
      <c r="AU790">
        <v>2000</v>
      </c>
      <c r="AV790">
        <v>52</v>
      </c>
      <c r="AW790">
        <v>4</v>
      </c>
      <c r="AX790" t="s">
        <v>74</v>
      </c>
      <c r="AY790" t="s">
        <v>74</v>
      </c>
      <c r="AZ790" t="s">
        <v>74</v>
      </c>
      <c r="BA790" t="s">
        <v>74</v>
      </c>
      <c r="BB790">
        <v>1104</v>
      </c>
      <c r="BC790">
        <v>1122</v>
      </c>
      <c r="BD790" t="s">
        <v>74</v>
      </c>
      <c r="BE790" t="s">
        <v>10496</v>
      </c>
      <c r="BF790" t="str">
        <f>HYPERLINK("http://dx.doi.org/10.1034/j.1600-0889.2000.00136.x","http://dx.doi.org/10.1034/j.1600-0889.2000.00136.x")</f>
        <v>http://dx.doi.org/10.1034/j.1600-0889.2000.00136.x</v>
      </c>
      <c r="BG790" t="s">
        <v>74</v>
      </c>
      <c r="BH790" t="s">
        <v>74</v>
      </c>
      <c r="BI790">
        <v>19</v>
      </c>
      <c r="BJ790" t="s">
        <v>167</v>
      </c>
      <c r="BK790" t="s">
        <v>94</v>
      </c>
      <c r="BL790" t="s">
        <v>167</v>
      </c>
      <c r="BM790" t="s">
        <v>10497</v>
      </c>
      <c r="BN790" t="s">
        <v>74</v>
      </c>
      <c r="BO790" t="s">
        <v>74</v>
      </c>
      <c r="BP790" t="s">
        <v>74</v>
      </c>
      <c r="BQ790" t="s">
        <v>74</v>
      </c>
      <c r="BR790" t="s">
        <v>97</v>
      </c>
      <c r="BS790" t="s">
        <v>10498</v>
      </c>
      <c r="BT790" t="str">
        <f>HYPERLINK("https%3A%2F%2Fwww.webofscience.com%2Fwos%2Fwoscc%2Ffull-record%2FWOS:000089721200005","View Full Record in Web of Science")</f>
        <v>View Full Record in Web of Science</v>
      </c>
    </row>
    <row r="791" spans="1:72" x14ac:dyDescent="0.15">
      <c r="A791" t="s">
        <v>72</v>
      </c>
      <c r="B791" t="s">
        <v>10499</v>
      </c>
      <c r="C791" t="s">
        <v>74</v>
      </c>
      <c r="D791" t="s">
        <v>74</v>
      </c>
      <c r="E791" t="s">
        <v>74</v>
      </c>
      <c r="F791" t="s">
        <v>10499</v>
      </c>
      <c r="G791" t="s">
        <v>74</v>
      </c>
      <c r="H791" t="s">
        <v>74</v>
      </c>
      <c r="I791" t="s">
        <v>10500</v>
      </c>
      <c r="J791" t="s">
        <v>4737</v>
      </c>
      <c r="K791" t="s">
        <v>74</v>
      </c>
      <c r="L791" t="s">
        <v>74</v>
      </c>
      <c r="M791" t="s">
        <v>77</v>
      </c>
      <c r="N791" t="s">
        <v>78</v>
      </c>
      <c r="O791" t="s">
        <v>74</v>
      </c>
      <c r="P791" t="s">
        <v>74</v>
      </c>
      <c r="Q791" t="s">
        <v>74</v>
      </c>
      <c r="R791" t="s">
        <v>74</v>
      </c>
      <c r="S791" t="s">
        <v>74</v>
      </c>
      <c r="T791" t="s">
        <v>74</v>
      </c>
      <c r="U791" t="s">
        <v>74</v>
      </c>
      <c r="V791" t="s">
        <v>10501</v>
      </c>
      <c r="W791" t="s">
        <v>10502</v>
      </c>
      <c r="X791" t="s">
        <v>10503</v>
      </c>
      <c r="Y791" t="s">
        <v>10504</v>
      </c>
      <c r="Z791" t="s">
        <v>74</v>
      </c>
      <c r="AA791" t="s">
        <v>74</v>
      </c>
      <c r="AB791" t="s">
        <v>74</v>
      </c>
      <c r="AC791" t="s">
        <v>74</v>
      </c>
      <c r="AD791" t="s">
        <v>74</v>
      </c>
      <c r="AE791" t="s">
        <v>74</v>
      </c>
      <c r="AF791" t="s">
        <v>74</v>
      </c>
      <c r="AG791">
        <v>6</v>
      </c>
      <c r="AH791">
        <v>0</v>
      </c>
      <c r="AI791">
        <v>1</v>
      </c>
      <c r="AJ791">
        <v>0</v>
      </c>
      <c r="AK791">
        <v>4</v>
      </c>
      <c r="AL791" t="s">
        <v>4741</v>
      </c>
      <c r="AM791" t="s">
        <v>1060</v>
      </c>
      <c r="AN791" t="s">
        <v>4742</v>
      </c>
      <c r="AO791" t="s">
        <v>4743</v>
      </c>
      <c r="AP791" t="s">
        <v>74</v>
      </c>
      <c r="AQ791" t="s">
        <v>74</v>
      </c>
      <c r="AR791" t="s">
        <v>4745</v>
      </c>
      <c r="AS791" t="s">
        <v>4746</v>
      </c>
      <c r="AT791" t="s">
        <v>10505</v>
      </c>
      <c r="AU791">
        <v>2000</v>
      </c>
      <c r="AV791">
        <v>113</v>
      </c>
      <c r="AW791">
        <v>2</v>
      </c>
      <c r="AX791" t="s">
        <v>74</v>
      </c>
      <c r="AY791" t="s">
        <v>74</v>
      </c>
      <c r="AZ791" t="s">
        <v>74</v>
      </c>
      <c r="BA791" t="s">
        <v>74</v>
      </c>
      <c r="BB791">
        <v>493</v>
      </c>
      <c r="BC791">
        <v>499</v>
      </c>
      <c r="BD791" t="s">
        <v>74</v>
      </c>
      <c r="BE791" t="s">
        <v>74</v>
      </c>
      <c r="BF791" t="s">
        <v>74</v>
      </c>
      <c r="BG791" t="s">
        <v>74</v>
      </c>
      <c r="BH791" t="s">
        <v>74</v>
      </c>
      <c r="BI791">
        <v>7</v>
      </c>
      <c r="BJ791" t="s">
        <v>3757</v>
      </c>
      <c r="BK791" t="s">
        <v>94</v>
      </c>
      <c r="BL791" t="s">
        <v>3758</v>
      </c>
      <c r="BM791" t="s">
        <v>10506</v>
      </c>
      <c r="BN791" t="s">
        <v>74</v>
      </c>
      <c r="BO791" t="s">
        <v>74</v>
      </c>
      <c r="BP791" t="s">
        <v>74</v>
      </c>
      <c r="BQ791" t="s">
        <v>74</v>
      </c>
      <c r="BR791" t="s">
        <v>97</v>
      </c>
      <c r="BS791" t="s">
        <v>10507</v>
      </c>
      <c r="BT791" t="str">
        <f>HYPERLINK("https%3A%2F%2Fwww.webofscience.com%2Fwos%2Fwoscc%2Ffull-record%2FWOS:000088606000016","View Full Record in Web of Science")</f>
        <v>View Full Record in Web of Science</v>
      </c>
    </row>
    <row r="792" spans="1:72" x14ac:dyDescent="0.15">
      <c r="A792" t="s">
        <v>72</v>
      </c>
      <c r="B792" t="s">
        <v>10508</v>
      </c>
      <c r="C792" t="s">
        <v>74</v>
      </c>
      <c r="D792" t="s">
        <v>74</v>
      </c>
      <c r="E792" t="s">
        <v>74</v>
      </c>
      <c r="F792" t="s">
        <v>10508</v>
      </c>
      <c r="G792" t="s">
        <v>74</v>
      </c>
      <c r="H792" t="s">
        <v>74</v>
      </c>
      <c r="I792" t="s">
        <v>10509</v>
      </c>
      <c r="J792" t="s">
        <v>4737</v>
      </c>
      <c r="K792" t="s">
        <v>74</v>
      </c>
      <c r="L792" t="s">
        <v>74</v>
      </c>
      <c r="M792" t="s">
        <v>77</v>
      </c>
      <c r="N792" t="s">
        <v>78</v>
      </c>
      <c r="O792" t="s">
        <v>74</v>
      </c>
      <c r="P792" t="s">
        <v>74</v>
      </c>
      <c r="Q792" t="s">
        <v>74</v>
      </c>
      <c r="R792" t="s">
        <v>74</v>
      </c>
      <c r="S792" t="s">
        <v>74</v>
      </c>
      <c r="T792" t="s">
        <v>74</v>
      </c>
      <c r="U792" t="s">
        <v>74</v>
      </c>
      <c r="V792" t="s">
        <v>10510</v>
      </c>
      <c r="W792" t="s">
        <v>10511</v>
      </c>
      <c r="X792" t="s">
        <v>10512</v>
      </c>
      <c r="Y792" t="s">
        <v>10513</v>
      </c>
      <c r="Z792" t="s">
        <v>74</v>
      </c>
      <c r="AA792" t="s">
        <v>10514</v>
      </c>
      <c r="AB792" t="s">
        <v>8439</v>
      </c>
      <c r="AC792" t="s">
        <v>74</v>
      </c>
      <c r="AD792" t="s">
        <v>74</v>
      </c>
      <c r="AE792" t="s">
        <v>74</v>
      </c>
      <c r="AF792" t="s">
        <v>74</v>
      </c>
      <c r="AG792">
        <v>8</v>
      </c>
      <c r="AH792">
        <v>9</v>
      </c>
      <c r="AI792">
        <v>10</v>
      </c>
      <c r="AJ792">
        <v>0</v>
      </c>
      <c r="AK792">
        <v>0</v>
      </c>
      <c r="AL792" t="s">
        <v>4741</v>
      </c>
      <c r="AM792" t="s">
        <v>1060</v>
      </c>
      <c r="AN792" t="s">
        <v>4742</v>
      </c>
      <c r="AO792" t="s">
        <v>4743</v>
      </c>
      <c r="AP792" t="s">
        <v>74</v>
      </c>
      <c r="AQ792" t="s">
        <v>74</v>
      </c>
      <c r="AR792" t="s">
        <v>4745</v>
      </c>
      <c r="AS792" t="s">
        <v>4746</v>
      </c>
      <c r="AT792" t="s">
        <v>10505</v>
      </c>
      <c r="AU792">
        <v>2000</v>
      </c>
      <c r="AV792">
        <v>113</v>
      </c>
      <c r="AW792">
        <v>2</v>
      </c>
      <c r="AX792" t="s">
        <v>74</v>
      </c>
      <c r="AY792" t="s">
        <v>74</v>
      </c>
      <c r="AZ792" t="s">
        <v>74</v>
      </c>
      <c r="BA792" t="s">
        <v>74</v>
      </c>
      <c r="BB792">
        <v>542</v>
      </c>
      <c r="BC792">
        <v>560</v>
      </c>
      <c r="BD792" t="s">
        <v>74</v>
      </c>
      <c r="BE792" t="s">
        <v>74</v>
      </c>
      <c r="BF792" t="s">
        <v>74</v>
      </c>
      <c r="BG792" t="s">
        <v>74</v>
      </c>
      <c r="BH792" t="s">
        <v>74</v>
      </c>
      <c r="BI792">
        <v>19</v>
      </c>
      <c r="BJ792" t="s">
        <v>3757</v>
      </c>
      <c r="BK792" t="s">
        <v>94</v>
      </c>
      <c r="BL792" t="s">
        <v>3758</v>
      </c>
      <c r="BM792" t="s">
        <v>10506</v>
      </c>
      <c r="BN792" t="s">
        <v>74</v>
      </c>
      <c r="BO792" t="s">
        <v>74</v>
      </c>
      <c r="BP792" t="s">
        <v>74</v>
      </c>
      <c r="BQ792" t="s">
        <v>74</v>
      </c>
      <c r="BR792" t="s">
        <v>97</v>
      </c>
      <c r="BS792" t="s">
        <v>10515</v>
      </c>
      <c r="BT792" t="str">
        <f>HYPERLINK("https%3A%2F%2Fwww.webofscience.com%2Fwos%2Fwoscc%2Ffull-record%2FWOS:000088606000021","View Full Record in Web of Science")</f>
        <v>View Full Record in Web of Science</v>
      </c>
    </row>
    <row r="793" spans="1:72" x14ac:dyDescent="0.15">
      <c r="A793" t="s">
        <v>72</v>
      </c>
      <c r="B793" t="s">
        <v>10516</v>
      </c>
      <c r="C793" t="s">
        <v>74</v>
      </c>
      <c r="D793" t="s">
        <v>74</v>
      </c>
      <c r="E793" t="s">
        <v>74</v>
      </c>
      <c r="F793" t="s">
        <v>10516</v>
      </c>
      <c r="G793" t="s">
        <v>74</v>
      </c>
      <c r="H793" t="s">
        <v>74</v>
      </c>
      <c r="I793" t="s">
        <v>10517</v>
      </c>
      <c r="J793" t="s">
        <v>8350</v>
      </c>
      <c r="K793" t="s">
        <v>74</v>
      </c>
      <c r="L793" t="s">
        <v>74</v>
      </c>
      <c r="M793" t="s">
        <v>77</v>
      </c>
      <c r="N793" t="s">
        <v>78</v>
      </c>
      <c r="O793" t="s">
        <v>74</v>
      </c>
      <c r="P793" t="s">
        <v>74</v>
      </c>
      <c r="Q793" t="s">
        <v>74</v>
      </c>
      <c r="R793" t="s">
        <v>74</v>
      </c>
      <c r="S793" t="s">
        <v>74</v>
      </c>
      <c r="T793" t="s">
        <v>74</v>
      </c>
      <c r="U793" t="s">
        <v>10518</v>
      </c>
      <c r="V793" t="s">
        <v>10519</v>
      </c>
      <c r="W793" t="s">
        <v>10520</v>
      </c>
      <c r="X793" t="s">
        <v>10521</v>
      </c>
      <c r="Y793" t="s">
        <v>10522</v>
      </c>
      <c r="Z793" t="s">
        <v>74</v>
      </c>
      <c r="AA793" t="s">
        <v>10523</v>
      </c>
      <c r="AB793" t="s">
        <v>10524</v>
      </c>
      <c r="AC793" t="s">
        <v>74</v>
      </c>
      <c r="AD793" t="s">
        <v>74</v>
      </c>
      <c r="AE793" t="s">
        <v>74</v>
      </c>
      <c r="AF793" t="s">
        <v>74</v>
      </c>
      <c r="AG793">
        <v>17</v>
      </c>
      <c r="AH793">
        <v>132</v>
      </c>
      <c r="AI793">
        <v>142</v>
      </c>
      <c r="AJ793">
        <v>0</v>
      </c>
      <c r="AK793">
        <v>28</v>
      </c>
      <c r="AL793" t="s">
        <v>8354</v>
      </c>
      <c r="AM793" t="s">
        <v>1060</v>
      </c>
      <c r="AN793" t="s">
        <v>8355</v>
      </c>
      <c r="AO793" t="s">
        <v>8356</v>
      </c>
      <c r="AP793" t="s">
        <v>74</v>
      </c>
      <c r="AQ793" t="s">
        <v>74</v>
      </c>
      <c r="AR793" t="s">
        <v>8350</v>
      </c>
      <c r="AS793" t="s">
        <v>8357</v>
      </c>
      <c r="AT793" t="s">
        <v>10525</v>
      </c>
      <c r="AU793">
        <v>2000</v>
      </c>
      <c r="AV793">
        <v>289</v>
      </c>
      <c r="AW793">
        <v>5479</v>
      </c>
      <c r="AX793" t="s">
        <v>74</v>
      </c>
      <c r="AY793" t="s">
        <v>74</v>
      </c>
      <c r="AZ793" t="s">
        <v>74</v>
      </c>
      <c r="BA793" t="s">
        <v>74</v>
      </c>
      <c r="BB793">
        <v>611</v>
      </c>
      <c r="BC793">
        <v>613</v>
      </c>
      <c r="BD793" t="s">
        <v>74</v>
      </c>
      <c r="BE793" t="s">
        <v>10526</v>
      </c>
      <c r="BF793" t="str">
        <f>HYPERLINK("http://dx.doi.org/10.1126/science.289.5479.611","http://dx.doi.org/10.1126/science.289.5479.611")</f>
        <v>http://dx.doi.org/10.1126/science.289.5479.611</v>
      </c>
      <c r="BG793" t="s">
        <v>74</v>
      </c>
      <c r="BH793" t="s">
        <v>74</v>
      </c>
      <c r="BI793">
        <v>3</v>
      </c>
      <c r="BJ793" t="s">
        <v>93</v>
      </c>
      <c r="BK793" t="s">
        <v>94</v>
      </c>
      <c r="BL793" t="s">
        <v>95</v>
      </c>
      <c r="BM793" t="s">
        <v>10527</v>
      </c>
      <c r="BN793">
        <v>10915622</v>
      </c>
      <c r="BO793" t="s">
        <v>74</v>
      </c>
      <c r="BP793" t="s">
        <v>74</v>
      </c>
      <c r="BQ793" t="s">
        <v>74</v>
      </c>
      <c r="BR793" t="s">
        <v>97</v>
      </c>
      <c r="BS793" t="s">
        <v>10528</v>
      </c>
      <c r="BT793" t="str">
        <f>HYPERLINK("https%3A%2F%2Fwww.webofscience.com%2Fwos%2Fwoscc%2Ffull-record%2FWOS:000088447800051","View Full Record in Web of Science")</f>
        <v>View Full Record in Web of Science</v>
      </c>
    </row>
    <row r="794" spans="1:72" x14ac:dyDescent="0.15">
      <c r="A794" t="s">
        <v>72</v>
      </c>
      <c r="B794" t="s">
        <v>10529</v>
      </c>
      <c r="C794" t="s">
        <v>74</v>
      </c>
      <c r="D794" t="s">
        <v>74</v>
      </c>
      <c r="E794" t="s">
        <v>74</v>
      </c>
      <c r="F794" t="s">
        <v>10529</v>
      </c>
      <c r="G794" t="s">
        <v>74</v>
      </c>
      <c r="H794" t="s">
        <v>74</v>
      </c>
      <c r="I794" t="s">
        <v>10530</v>
      </c>
      <c r="J794" t="s">
        <v>4772</v>
      </c>
      <c r="K794" t="s">
        <v>74</v>
      </c>
      <c r="L794" t="s">
        <v>74</v>
      </c>
      <c r="M794" t="s">
        <v>77</v>
      </c>
      <c r="N794" t="s">
        <v>78</v>
      </c>
      <c r="O794" t="s">
        <v>74</v>
      </c>
      <c r="P794" t="s">
        <v>74</v>
      </c>
      <c r="Q794" t="s">
        <v>74</v>
      </c>
      <c r="R794" t="s">
        <v>74</v>
      </c>
      <c r="S794" t="s">
        <v>74</v>
      </c>
      <c r="T794" t="s">
        <v>74</v>
      </c>
      <c r="U794" t="s">
        <v>10531</v>
      </c>
      <c r="V794" t="s">
        <v>10532</v>
      </c>
      <c r="W794" t="s">
        <v>10533</v>
      </c>
      <c r="X794" t="s">
        <v>10534</v>
      </c>
      <c r="Y794" t="s">
        <v>10535</v>
      </c>
      <c r="Z794" t="s">
        <v>10536</v>
      </c>
      <c r="AA794" t="s">
        <v>74</v>
      </c>
      <c r="AB794" t="s">
        <v>10537</v>
      </c>
      <c r="AC794" t="s">
        <v>74</v>
      </c>
      <c r="AD794" t="s">
        <v>74</v>
      </c>
      <c r="AE794" t="s">
        <v>74</v>
      </c>
      <c r="AF794" t="s">
        <v>74</v>
      </c>
      <c r="AG794">
        <v>48</v>
      </c>
      <c r="AH794">
        <v>13</v>
      </c>
      <c r="AI794">
        <v>13</v>
      </c>
      <c r="AJ794">
        <v>0</v>
      </c>
      <c r="AK794">
        <v>2</v>
      </c>
      <c r="AL794" t="s">
        <v>1059</v>
      </c>
      <c r="AM794" t="s">
        <v>1060</v>
      </c>
      <c r="AN794" t="s">
        <v>1061</v>
      </c>
      <c r="AO794" t="s">
        <v>4798</v>
      </c>
      <c r="AP794" t="s">
        <v>4799</v>
      </c>
      <c r="AQ794" t="s">
        <v>74</v>
      </c>
      <c r="AR794" t="s">
        <v>4781</v>
      </c>
      <c r="AS794" t="s">
        <v>4782</v>
      </c>
      <c r="AT794" t="s">
        <v>10538</v>
      </c>
      <c r="AU794">
        <v>2000</v>
      </c>
      <c r="AV794">
        <v>105</v>
      </c>
      <c r="AW794" t="s">
        <v>10539</v>
      </c>
      <c r="AX794" t="s">
        <v>74</v>
      </c>
      <c r="AY794" t="s">
        <v>74</v>
      </c>
      <c r="AZ794" t="s">
        <v>74</v>
      </c>
      <c r="BA794" t="s">
        <v>74</v>
      </c>
      <c r="BB794">
        <v>17739</v>
      </c>
      <c r="BC794">
        <v>17750</v>
      </c>
      <c r="BD794" t="s">
        <v>74</v>
      </c>
      <c r="BE794" t="s">
        <v>10540</v>
      </c>
      <c r="BF794" t="str">
        <f>HYPERLINK("http://dx.doi.org/10.1029/2000JD900120","http://dx.doi.org/10.1029/2000JD900120")</f>
        <v>http://dx.doi.org/10.1029/2000JD900120</v>
      </c>
      <c r="BG794" t="s">
        <v>74</v>
      </c>
      <c r="BH794" t="s">
        <v>74</v>
      </c>
      <c r="BI794">
        <v>12</v>
      </c>
      <c r="BJ794" t="s">
        <v>167</v>
      </c>
      <c r="BK794" t="s">
        <v>94</v>
      </c>
      <c r="BL794" t="s">
        <v>167</v>
      </c>
      <c r="BM794" t="s">
        <v>10541</v>
      </c>
      <c r="BN794" t="s">
        <v>74</v>
      </c>
      <c r="BO794" t="s">
        <v>1755</v>
      </c>
      <c r="BP794" t="s">
        <v>74</v>
      </c>
      <c r="BQ794" t="s">
        <v>74</v>
      </c>
      <c r="BR794" t="s">
        <v>97</v>
      </c>
      <c r="BS794" t="s">
        <v>10542</v>
      </c>
      <c r="BT794" t="str">
        <f>HYPERLINK("https%3A%2F%2Fwww.webofscience.com%2Fwos%2Fwoscc%2Ffull-record%2FWOS:000088368700005","View Full Record in Web of Science")</f>
        <v>View Full Record in Web of Science</v>
      </c>
    </row>
    <row r="795" spans="1:72" x14ac:dyDescent="0.15">
      <c r="A795" t="s">
        <v>72</v>
      </c>
      <c r="B795" t="s">
        <v>10543</v>
      </c>
      <c r="C795" t="s">
        <v>74</v>
      </c>
      <c r="D795" t="s">
        <v>74</v>
      </c>
      <c r="E795" t="s">
        <v>74</v>
      </c>
      <c r="F795" t="s">
        <v>10543</v>
      </c>
      <c r="G795" t="s">
        <v>74</v>
      </c>
      <c r="H795" t="s">
        <v>74</v>
      </c>
      <c r="I795" t="s">
        <v>10544</v>
      </c>
      <c r="J795" t="s">
        <v>4772</v>
      </c>
      <c r="K795" t="s">
        <v>74</v>
      </c>
      <c r="L795" t="s">
        <v>74</v>
      </c>
      <c r="M795" t="s">
        <v>77</v>
      </c>
      <c r="N795" t="s">
        <v>78</v>
      </c>
      <c r="O795" t="s">
        <v>74</v>
      </c>
      <c r="P795" t="s">
        <v>74</v>
      </c>
      <c r="Q795" t="s">
        <v>74</v>
      </c>
      <c r="R795" t="s">
        <v>74</v>
      </c>
      <c r="S795" t="s">
        <v>74</v>
      </c>
      <c r="T795" t="s">
        <v>74</v>
      </c>
      <c r="U795" t="s">
        <v>10545</v>
      </c>
      <c r="V795" t="s">
        <v>10546</v>
      </c>
      <c r="W795" t="s">
        <v>10547</v>
      </c>
      <c r="X795" t="s">
        <v>10548</v>
      </c>
      <c r="Y795" t="s">
        <v>10549</v>
      </c>
      <c r="Z795" t="s">
        <v>10550</v>
      </c>
      <c r="AA795" t="s">
        <v>10551</v>
      </c>
      <c r="AB795" t="s">
        <v>10552</v>
      </c>
      <c r="AC795" t="s">
        <v>74</v>
      </c>
      <c r="AD795" t="s">
        <v>74</v>
      </c>
      <c r="AE795" t="s">
        <v>74</v>
      </c>
      <c r="AF795" t="s">
        <v>74</v>
      </c>
      <c r="AG795">
        <v>26</v>
      </c>
      <c r="AH795">
        <v>101</v>
      </c>
      <c r="AI795">
        <v>116</v>
      </c>
      <c r="AJ795">
        <v>0</v>
      </c>
      <c r="AK795">
        <v>13</v>
      </c>
      <c r="AL795" t="s">
        <v>1059</v>
      </c>
      <c r="AM795" t="s">
        <v>1060</v>
      </c>
      <c r="AN795" t="s">
        <v>1061</v>
      </c>
      <c r="AO795" t="s">
        <v>4798</v>
      </c>
      <c r="AP795" t="s">
        <v>4799</v>
      </c>
      <c r="AQ795" t="s">
        <v>74</v>
      </c>
      <c r="AR795" t="s">
        <v>4781</v>
      </c>
      <c r="AS795" t="s">
        <v>4782</v>
      </c>
      <c r="AT795" t="s">
        <v>10538</v>
      </c>
      <c r="AU795">
        <v>2000</v>
      </c>
      <c r="AV795">
        <v>105</v>
      </c>
      <c r="AW795" t="s">
        <v>10539</v>
      </c>
      <c r="AX795" t="s">
        <v>74</v>
      </c>
      <c r="AY795" t="s">
        <v>74</v>
      </c>
      <c r="AZ795" t="s">
        <v>74</v>
      </c>
      <c r="BA795" t="s">
        <v>74</v>
      </c>
      <c r="BB795">
        <v>17995</v>
      </c>
      <c r="BC795">
        <v>18011</v>
      </c>
      <c r="BD795" t="s">
        <v>74</v>
      </c>
      <c r="BE795" t="s">
        <v>10553</v>
      </c>
      <c r="BF795" t="str">
        <f>HYPERLINK("http://dx.doi.org/10.1029/2000JD900204","http://dx.doi.org/10.1029/2000JD900204")</f>
        <v>http://dx.doi.org/10.1029/2000JD900204</v>
      </c>
      <c r="BG795" t="s">
        <v>74</v>
      </c>
      <c r="BH795" t="s">
        <v>74</v>
      </c>
      <c r="BI795">
        <v>17</v>
      </c>
      <c r="BJ795" t="s">
        <v>167</v>
      </c>
      <c r="BK795" t="s">
        <v>94</v>
      </c>
      <c r="BL795" t="s">
        <v>167</v>
      </c>
      <c r="BM795" t="s">
        <v>10541</v>
      </c>
      <c r="BN795" t="s">
        <v>74</v>
      </c>
      <c r="BO795" t="s">
        <v>74</v>
      </c>
      <c r="BP795" t="s">
        <v>74</v>
      </c>
      <c r="BQ795" t="s">
        <v>74</v>
      </c>
      <c r="BR795" t="s">
        <v>97</v>
      </c>
      <c r="BS795" t="s">
        <v>10554</v>
      </c>
      <c r="BT795" t="str">
        <f>HYPERLINK("https%3A%2F%2Fwww.webofscience.com%2Fwos%2Fwoscc%2Ffull-record%2FWOS:000088368700021","View Full Record in Web of Science")</f>
        <v>View Full Record in Web of Science</v>
      </c>
    </row>
    <row r="796" spans="1:72" x14ac:dyDescent="0.15">
      <c r="A796" t="s">
        <v>72</v>
      </c>
      <c r="B796" t="s">
        <v>10555</v>
      </c>
      <c r="C796" t="s">
        <v>74</v>
      </c>
      <c r="D796" t="s">
        <v>74</v>
      </c>
      <c r="E796" t="s">
        <v>74</v>
      </c>
      <c r="F796" t="s">
        <v>10555</v>
      </c>
      <c r="G796" t="s">
        <v>74</v>
      </c>
      <c r="H796" t="s">
        <v>74</v>
      </c>
      <c r="I796" t="s">
        <v>10556</v>
      </c>
      <c r="J796" t="s">
        <v>1053</v>
      </c>
      <c r="K796" t="s">
        <v>74</v>
      </c>
      <c r="L796" t="s">
        <v>74</v>
      </c>
      <c r="M796" t="s">
        <v>77</v>
      </c>
      <c r="N796" t="s">
        <v>78</v>
      </c>
      <c r="O796" t="s">
        <v>74</v>
      </c>
      <c r="P796" t="s">
        <v>74</v>
      </c>
      <c r="Q796" t="s">
        <v>74</v>
      </c>
      <c r="R796" t="s">
        <v>74</v>
      </c>
      <c r="S796" t="s">
        <v>74</v>
      </c>
      <c r="T796" t="s">
        <v>74</v>
      </c>
      <c r="U796" t="s">
        <v>10557</v>
      </c>
      <c r="V796" t="s">
        <v>10558</v>
      </c>
      <c r="W796" t="s">
        <v>10559</v>
      </c>
      <c r="X796" t="s">
        <v>10560</v>
      </c>
      <c r="Y796" t="s">
        <v>10561</v>
      </c>
      <c r="Z796" t="s">
        <v>74</v>
      </c>
      <c r="AA796" t="s">
        <v>74</v>
      </c>
      <c r="AB796" t="s">
        <v>74</v>
      </c>
      <c r="AC796" t="s">
        <v>74</v>
      </c>
      <c r="AD796" t="s">
        <v>74</v>
      </c>
      <c r="AE796" t="s">
        <v>74</v>
      </c>
      <c r="AF796" t="s">
        <v>74</v>
      </c>
      <c r="AG796">
        <v>13</v>
      </c>
      <c r="AH796">
        <v>11</v>
      </c>
      <c r="AI796">
        <v>12</v>
      </c>
      <c r="AJ796">
        <v>0</v>
      </c>
      <c r="AK796">
        <v>0</v>
      </c>
      <c r="AL796" t="s">
        <v>1059</v>
      </c>
      <c r="AM796" t="s">
        <v>1060</v>
      </c>
      <c r="AN796" t="s">
        <v>1061</v>
      </c>
      <c r="AO796" t="s">
        <v>1062</v>
      </c>
      <c r="AP796" t="s">
        <v>74</v>
      </c>
      <c r="AQ796" t="s">
        <v>74</v>
      </c>
      <c r="AR796" t="s">
        <v>1063</v>
      </c>
      <c r="AS796" t="s">
        <v>1064</v>
      </c>
      <c r="AT796" t="s">
        <v>10562</v>
      </c>
      <c r="AU796">
        <v>2000</v>
      </c>
      <c r="AV796">
        <v>27</v>
      </c>
      <c r="AW796">
        <v>14</v>
      </c>
      <c r="AX796" t="s">
        <v>74</v>
      </c>
      <c r="AY796" t="s">
        <v>74</v>
      </c>
      <c r="AZ796" t="s">
        <v>74</v>
      </c>
      <c r="BA796" t="s">
        <v>74</v>
      </c>
      <c r="BB796">
        <v>2053</v>
      </c>
      <c r="BC796">
        <v>2056</v>
      </c>
      <c r="BD796" t="s">
        <v>74</v>
      </c>
      <c r="BE796" t="s">
        <v>10563</v>
      </c>
      <c r="BF796" t="str">
        <f>HYPERLINK("http://dx.doi.org/10.1029/1999GL011189","http://dx.doi.org/10.1029/1999GL011189")</f>
        <v>http://dx.doi.org/10.1029/1999GL011189</v>
      </c>
      <c r="BG796" t="s">
        <v>74</v>
      </c>
      <c r="BH796" t="s">
        <v>74</v>
      </c>
      <c r="BI796">
        <v>4</v>
      </c>
      <c r="BJ796" t="s">
        <v>595</v>
      </c>
      <c r="BK796" t="s">
        <v>94</v>
      </c>
      <c r="BL796" t="s">
        <v>597</v>
      </c>
      <c r="BM796" t="s">
        <v>10564</v>
      </c>
      <c r="BN796" t="s">
        <v>74</v>
      </c>
      <c r="BO796" t="s">
        <v>1755</v>
      </c>
      <c r="BP796" t="s">
        <v>74</v>
      </c>
      <c r="BQ796" t="s">
        <v>74</v>
      </c>
      <c r="BR796" t="s">
        <v>97</v>
      </c>
      <c r="BS796" t="s">
        <v>10565</v>
      </c>
      <c r="BT796" t="str">
        <f>HYPERLINK("https%3A%2F%2Fwww.webofscience.com%2Fwos%2Fwoscc%2Ffull-record%2FWOS:000088335500010","View Full Record in Web of Science")</f>
        <v>View Full Record in Web of Science</v>
      </c>
    </row>
    <row r="797" spans="1:72" x14ac:dyDescent="0.15">
      <c r="A797" t="s">
        <v>72</v>
      </c>
      <c r="B797" t="s">
        <v>10566</v>
      </c>
      <c r="C797" t="s">
        <v>74</v>
      </c>
      <c r="D797" t="s">
        <v>74</v>
      </c>
      <c r="E797" t="s">
        <v>74</v>
      </c>
      <c r="F797" t="s">
        <v>10566</v>
      </c>
      <c r="G797" t="s">
        <v>74</v>
      </c>
      <c r="H797" t="s">
        <v>74</v>
      </c>
      <c r="I797" t="s">
        <v>10567</v>
      </c>
      <c r="J797" t="s">
        <v>1053</v>
      </c>
      <c r="K797" t="s">
        <v>74</v>
      </c>
      <c r="L797" t="s">
        <v>74</v>
      </c>
      <c r="M797" t="s">
        <v>77</v>
      </c>
      <c r="N797" t="s">
        <v>78</v>
      </c>
      <c r="O797" t="s">
        <v>74</v>
      </c>
      <c r="P797" t="s">
        <v>74</v>
      </c>
      <c r="Q797" t="s">
        <v>74</v>
      </c>
      <c r="R797" t="s">
        <v>74</v>
      </c>
      <c r="S797" t="s">
        <v>74</v>
      </c>
      <c r="T797" t="s">
        <v>74</v>
      </c>
      <c r="U797" t="s">
        <v>74</v>
      </c>
      <c r="V797" t="s">
        <v>10568</v>
      </c>
      <c r="W797" t="s">
        <v>10569</v>
      </c>
      <c r="X797" t="s">
        <v>10570</v>
      </c>
      <c r="Y797" t="s">
        <v>2231</v>
      </c>
      <c r="Z797" t="s">
        <v>74</v>
      </c>
      <c r="AA797" t="s">
        <v>10571</v>
      </c>
      <c r="AB797" t="s">
        <v>10572</v>
      </c>
      <c r="AC797" t="s">
        <v>74</v>
      </c>
      <c r="AD797" t="s">
        <v>74</v>
      </c>
      <c r="AE797" t="s">
        <v>74</v>
      </c>
      <c r="AF797" t="s">
        <v>74</v>
      </c>
      <c r="AG797">
        <v>10</v>
      </c>
      <c r="AH797">
        <v>13</v>
      </c>
      <c r="AI797">
        <v>14</v>
      </c>
      <c r="AJ797">
        <v>0</v>
      </c>
      <c r="AK797">
        <v>7</v>
      </c>
      <c r="AL797" t="s">
        <v>1059</v>
      </c>
      <c r="AM797" t="s">
        <v>1060</v>
      </c>
      <c r="AN797" t="s">
        <v>1061</v>
      </c>
      <c r="AO797" t="s">
        <v>1062</v>
      </c>
      <c r="AP797" t="s">
        <v>74</v>
      </c>
      <c r="AQ797" t="s">
        <v>74</v>
      </c>
      <c r="AR797" t="s">
        <v>1063</v>
      </c>
      <c r="AS797" t="s">
        <v>1064</v>
      </c>
      <c r="AT797" t="s">
        <v>10562</v>
      </c>
      <c r="AU797">
        <v>2000</v>
      </c>
      <c r="AV797">
        <v>27</v>
      </c>
      <c r="AW797">
        <v>14</v>
      </c>
      <c r="AX797" t="s">
        <v>74</v>
      </c>
      <c r="AY797" t="s">
        <v>74</v>
      </c>
      <c r="AZ797" t="s">
        <v>74</v>
      </c>
      <c r="BA797" t="s">
        <v>74</v>
      </c>
      <c r="BB797">
        <v>2133</v>
      </c>
      <c r="BC797">
        <v>2136</v>
      </c>
      <c r="BD797" t="s">
        <v>74</v>
      </c>
      <c r="BE797" t="s">
        <v>10573</v>
      </c>
      <c r="BF797" t="str">
        <f>HYPERLINK("http://dx.doi.org/10.1029/2000GL008479","http://dx.doi.org/10.1029/2000GL008479")</f>
        <v>http://dx.doi.org/10.1029/2000GL008479</v>
      </c>
      <c r="BG797" t="s">
        <v>74</v>
      </c>
      <c r="BH797" t="s">
        <v>74</v>
      </c>
      <c r="BI797">
        <v>4</v>
      </c>
      <c r="BJ797" t="s">
        <v>595</v>
      </c>
      <c r="BK797" t="s">
        <v>94</v>
      </c>
      <c r="BL797" t="s">
        <v>597</v>
      </c>
      <c r="BM797" t="s">
        <v>10564</v>
      </c>
      <c r="BN797" t="s">
        <v>74</v>
      </c>
      <c r="BO797" t="s">
        <v>8840</v>
      </c>
      <c r="BP797" t="s">
        <v>74</v>
      </c>
      <c r="BQ797" t="s">
        <v>74</v>
      </c>
      <c r="BR797" t="s">
        <v>97</v>
      </c>
      <c r="BS797" t="s">
        <v>10574</v>
      </c>
      <c r="BT797" t="str">
        <f>HYPERLINK("https%3A%2F%2Fwww.webofscience.com%2Fwos%2Fwoscc%2Ffull-record%2FWOS:000088335500030","View Full Record in Web of Science")</f>
        <v>View Full Record in Web of Science</v>
      </c>
    </row>
    <row r="798" spans="1:72" x14ac:dyDescent="0.15">
      <c r="A798" t="s">
        <v>72</v>
      </c>
      <c r="B798" t="s">
        <v>10575</v>
      </c>
      <c r="C798" t="s">
        <v>74</v>
      </c>
      <c r="D798" t="s">
        <v>74</v>
      </c>
      <c r="E798" t="s">
        <v>74</v>
      </c>
      <c r="F798" t="s">
        <v>10575</v>
      </c>
      <c r="G798" t="s">
        <v>74</v>
      </c>
      <c r="H798" t="s">
        <v>74</v>
      </c>
      <c r="I798" t="s">
        <v>10576</v>
      </c>
      <c r="J798" t="s">
        <v>1053</v>
      </c>
      <c r="K798" t="s">
        <v>74</v>
      </c>
      <c r="L798" t="s">
        <v>74</v>
      </c>
      <c r="M798" t="s">
        <v>77</v>
      </c>
      <c r="N798" t="s">
        <v>78</v>
      </c>
      <c r="O798" t="s">
        <v>74</v>
      </c>
      <c r="P798" t="s">
        <v>74</v>
      </c>
      <c r="Q798" t="s">
        <v>74</v>
      </c>
      <c r="R798" t="s">
        <v>74</v>
      </c>
      <c r="S798" t="s">
        <v>74</v>
      </c>
      <c r="T798" t="s">
        <v>74</v>
      </c>
      <c r="U798" t="s">
        <v>10577</v>
      </c>
      <c r="V798" t="s">
        <v>10578</v>
      </c>
      <c r="W798" t="s">
        <v>10579</v>
      </c>
      <c r="X798" t="s">
        <v>2717</v>
      </c>
      <c r="Y798" t="s">
        <v>10580</v>
      </c>
      <c r="Z798" t="s">
        <v>74</v>
      </c>
      <c r="AA798" t="s">
        <v>74</v>
      </c>
      <c r="AB798" t="s">
        <v>10581</v>
      </c>
      <c r="AC798" t="s">
        <v>74</v>
      </c>
      <c r="AD798" t="s">
        <v>74</v>
      </c>
      <c r="AE798" t="s">
        <v>74</v>
      </c>
      <c r="AF798" t="s">
        <v>74</v>
      </c>
      <c r="AG798">
        <v>21</v>
      </c>
      <c r="AH798">
        <v>73</v>
      </c>
      <c r="AI798">
        <v>84</v>
      </c>
      <c r="AJ798">
        <v>1</v>
      </c>
      <c r="AK798">
        <v>27</v>
      </c>
      <c r="AL798" t="s">
        <v>1059</v>
      </c>
      <c r="AM798" t="s">
        <v>1060</v>
      </c>
      <c r="AN798" t="s">
        <v>1061</v>
      </c>
      <c r="AO798" t="s">
        <v>1062</v>
      </c>
      <c r="AP798" t="s">
        <v>74</v>
      </c>
      <c r="AQ798" t="s">
        <v>74</v>
      </c>
      <c r="AR798" t="s">
        <v>1063</v>
      </c>
      <c r="AS798" t="s">
        <v>1064</v>
      </c>
      <c r="AT798" t="s">
        <v>10562</v>
      </c>
      <c r="AU798">
        <v>2000</v>
      </c>
      <c r="AV798">
        <v>27</v>
      </c>
      <c r="AW798">
        <v>14</v>
      </c>
      <c r="AX798" t="s">
        <v>74</v>
      </c>
      <c r="AY798" t="s">
        <v>74</v>
      </c>
      <c r="AZ798" t="s">
        <v>74</v>
      </c>
      <c r="BA798" t="s">
        <v>74</v>
      </c>
      <c r="BB798">
        <v>2153</v>
      </c>
      <c r="BC798">
        <v>2156</v>
      </c>
      <c r="BD798" t="s">
        <v>74</v>
      </c>
      <c r="BE798" t="s">
        <v>10582</v>
      </c>
      <c r="BF798" t="str">
        <f>HYPERLINK("http://dx.doi.org/10.1029/2000GL008525","http://dx.doi.org/10.1029/2000GL008525")</f>
        <v>http://dx.doi.org/10.1029/2000GL008525</v>
      </c>
      <c r="BG798" t="s">
        <v>74</v>
      </c>
      <c r="BH798" t="s">
        <v>74</v>
      </c>
      <c r="BI798">
        <v>4</v>
      </c>
      <c r="BJ798" t="s">
        <v>595</v>
      </c>
      <c r="BK798" t="s">
        <v>94</v>
      </c>
      <c r="BL798" t="s">
        <v>597</v>
      </c>
      <c r="BM798" t="s">
        <v>10564</v>
      </c>
      <c r="BN798">
        <v>11543492</v>
      </c>
      <c r="BO798" t="s">
        <v>1755</v>
      </c>
      <c r="BP798" t="s">
        <v>74</v>
      </c>
      <c r="BQ798" t="s">
        <v>74</v>
      </c>
      <c r="BR798" t="s">
        <v>97</v>
      </c>
      <c r="BS798" t="s">
        <v>10583</v>
      </c>
      <c r="BT798" t="str">
        <f>HYPERLINK("https%3A%2F%2Fwww.webofscience.com%2Fwos%2Fwoscc%2Ffull-record%2FWOS:000088335500035","View Full Record in Web of Science")</f>
        <v>View Full Record in Web of Science</v>
      </c>
    </row>
    <row r="799" spans="1:72" x14ac:dyDescent="0.15">
      <c r="A799" t="s">
        <v>72</v>
      </c>
      <c r="B799" t="s">
        <v>10584</v>
      </c>
      <c r="C799" t="s">
        <v>74</v>
      </c>
      <c r="D799" t="s">
        <v>74</v>
      </c>
      <c r="E799" t="s">
        <v>74</v>
      </c>
      <c r="F799" t="s">
        <v>10584</v>
      </c>
      <c r="G799" t="s">
        <v>74</v>
      </c>
      <c r="H799" t="s">
        <v>74</v>
      </c>
      <c r="I799" t="s">
        <v>10585</v>
      </c>
      <c r="J799" t="s">
        <v>4907</v>
      </c>
      <c r="K799" t="s">
        <v>74</v>
      </c>
      <c r="L799" t="s">
        <v>74</v>
      </c>
      <c r="M799" t="s">
        <v>77</v>
      </c>
      <c r="N799" t="s">
        <v>78</v>
      </c>
      <c r="O799" t="s">
        <v>74</v>
      </c>
      <c r="P799" t="s">
        <v>74</v>
      </c>
      <c r="Q799" t="s">
        <v>74</v>
      </c>
      <c r="R799" t="s">
        <v>74</v>
      </c>
      <c r="S799" t="s">
        <v>74</v>
      </c>
      <c r="T799" t="s">
        <v>74</v>
      </c>
      <c r="U799" t="s">
        <v>10586</v>
      </c>
      <c r="V799" t="s">
        <v>10587</v>
      </c>
      <c r="W799" t="s">
        <v>10588</v>
      </c>
      <c r="X799" t="s">
        <v>10589</v>
      </c>
      <c r="Y799" t="s">
        <v>10590</v>
      </c>
      <c r="Z799" t="s">
        <v>3361</v>
      </c>
      <c r="AA799" t="s">
        <v>74</v>
      </c>
      <c r="AB799" t="s">
        <v>74</v>
      </c>
      <c r="AC799" t="s">
        <v>74</v>
      </c>
      <c r="AD799" t="s">
        <v>74</v>
      </c>
      <c r="AE799" t="s">
        <v>74</v>
      </c>
      <c r="AF799" t="s">
        <v>74</v>
      </c>
      <c r="AG799">
        <v>43</v>
      </c>
      <c r="AH799">
        <v>10</v>
      </c>
      <c r="AI799">
        <v>10</v>
      </c>
      <c r="AJ799">
        <v>0</v>
      </c>
      <c r="AK799">
        <v>5</v>
      </c>
      <c r="AL799" t="s">
        <v>1059</v>
      </c>
      <c r="AM799" t="s">
        <v>1060</v>
      </c>
      <c r="AN799" t="s">
        <v>1061</v>
      </c>
      <c r="AO799" t="s">
        <v>4916</v>
      </c>
      <c r="AP799" t="s">
        <v>4917</v>
      </c>
      <c r="AQ799" t="s">
        <v>74</v>
      </c>
      <c r="AR799" t="s">
        <v>4918</v>
      </c>
      <c r="AS799" t="s">
        <v>4919</v>
      </c>
      <c r="AT799" t="s">
        <v>10562</v>
      </c>
      <c r="AU799">
        <v>2000</v>
      </c>
      <c r="AV799">
        <v>105</v>
      </c>
      <c r="AW799" t="s">
        <v>10591</v>
      </c>
      <c r="AX799" t="s">
        <v>74</v>
      </c>
      <c r="AY799" t="s">
        <v>74</v>
      </c>
      <c r="AZ799" t="s">
        <v>74</v>
      </c>
      <c r="BA799" t="s">
        <v>74</v>
      </c>
      <c r="BB799">
        <v>17063</v>
      </c>
      <c r="BC799">
        <v>17078</v>
      </c>
      <c r="BD799" t="s">
        <v>74</v>
      </c>
      <c r="BE799" t="s">
        <v>10592</v>
      </c>
      <c r="BF799" t="str">
        <f>HYPERLINK("http://dx.doi.org/10.1029/2000JC900064","http://dx.doi.org/10.1029/2000JC900064")</f>
        <v>http://dx.doi.org/10.1029/2000JC900064</v>
      </c>
      <c r="BG799" t="s">
        <v>74</v>
      </c>
      <c r="BH799" t="s">
        <v>74</v>
      </c>
      <c r="BI799">
        <v>16</v>
      </c>
      <c r="BJ799" t="s">
        <v>252</v>
      </c>
      <c r="BK799" t="s">
        <v>94</v>
      </c>
      <c r="BL799" t="s">
        <v>252</v>
      </c>
      <c r="BM799" t="s">
        <v>10593</v>
      </c>
      <c r="BN799" t="s">
        <v>74</v>
      </c>
      <c r="BO799" t="s">
        <v>1755</v>
      </c>
      <c r="BP799" t="s">
        <v>74</v>
      </c>
      <c r="BQ799" t="s">
        <v>74</v>
      </c>
      <c r="BR799" t="s">
        <v>97</v>
      </c>
      <c r="BS799" t="s">
        <v>10594</v>
      </c>
      <c r="BT799" t="str">
        <f>HYPERLINK("https%3A%2F%2Fwww.webofscience.com%2Fwos%2Fwoscc%2Ffull-record%2FWOS:000088260600018","View Full Record in Web of Science")</f>
        <v>View Full Record in Web of Science</v>
      </c>
    </row>
    <row r="800" spans="1:72" x14ac:dyDescent="0.15">
      <c r="A800" t="s">
        <v>72</v>
      </c>
      <c r="B800" t="s">
        <v>10595</v>
      </c>
      <c r="C800" t="s">
        <v>74</v>
      </c>
      <c r="D800" t="s">
        <v>74</v>
      </c>
      <c r="E800" t="s">
        <v>74</v>
      </c>
      <c r="F800" t="s">
        <v>10595</v>
      </c>
      <c r="G800" t="s">
        <v>74</v>
      </c>
      <c r="H800" t="s">
        <v>74</v>
      </c>
      <c r="I800" t="s">
        <v>10596</v>
      </c>
      <c r="J800" t="s">
        <v>4907</v>
      </c>
      <c r="K800" t="s">
        <v>74</v>
      </c>
      <c r="L800" t="s">
        <v>74</v>
      </c>
      <c r="M800" t="s">
        <v>77</v>
      </c>
      <c r="N800" t="s">
        <v>78</v>
      </c>
      <c r="O800" t="s">
        <v>74</v>
      </c>
      <c r="P800" t="s">
        <v>74</v>
      </c>
      <c r="Q800" t="s">
        <v>74</v>
      </c>
      <c r="R800" t="s">
        <v>74</v>
      </c>
      <c r="S800" t="s">
        <v>74</v>
      </c>
      <c r="T800" t="s">
        <v>74</v>
      </c>
      <c r="U800" t="s">
        <v>10597</v>
      </c>
      <c r="V800" t="s">
        <v>10598</v>
      </c>
      <c r="W800" t="s">
        <v>10599</v>
      </c>
      <c r="X800" t="s">
        <v>10600</v>
      </c>
      <c r="Y800" t="s">
        <v>10601</v>
      </c>
      <c r="Z800" t="s">
        <v>10602</v>
      </c>
      <c r="AA800" t="s">
        <v>10603</v>
      </c>
      <c r="AB800" t="s">
        <v>10604</v>
      </c>
      <c r="AC800" t="s">
        <v>74</v>
      </c>
      <c r="AD800" t="s">
        <v>74</v>
      </c>
      <c r="AE800" t="s">
        <v>74</v>
      </c>
      <c r="AF800" t="s">
        <v>74</v>
      </c>
      <c r="AG800">
        <v>61</v>
      </c>
      <c r="AH800">
        <v>34</v>
      </c>
      <c r="AI800">
        <v>40</v>
      </c>
      <c r="AJ800">
        <v>0</v>
      </c>
      <c r="AK800">
        <v>7</v>
      </c>
      <c r="AL800" t="s">
        <v>1059</v>
      </c>
      <c r="AM800" t="s">
        <v>1060</v>
      </c>
      <c r="AN800" t="s">
        <v>1061</v>
      </c>
      <c r="AO800" t="s">
        <v>4916</v>
      </c>
      <c r="AP800" t="s">
        <v>4917</v>
      </c>
      <c r="AQ800" t="s">
        <v>74</v>
      </c>
      <c r="AR800" t="s">
        <v>4918</v>
      </c>
      <c r="AS800" t="s">
        <v>4919</v>
      </c>
      <c r="AT800" t="s">
        <v>10562</v>
      </c>
      <c r="AU800">
        <v>2000</v>
      </c>
      <c r="AV800">
        <v>105</v>
      </c>
      <c r="AW800" t="s">
        <v>10591</v>
      </c>
      <c r="AX800" t="s">
        <v>74</v>
      </c>
      <c r="AY800" t="s">
        <v>74</v>
      </c>
      <c r="AZ800" t="s">
        <v>74</v>
      </c>
      <c r="BA800" t="s">
        <v>74</v>
      </c>
      <c r="BB800">
        <v>17143</v>
      </c>
      <c r="BC800">
        <v>17159</v>
      </c>
      <c r="BD800" t="s">
        <v>74</v>
      </c>
      <c r="BE800" t="s">
        <v>10605</v>
      </c>
      <c r="BF800" t="str">
        <f>HYPERLINK("http://dx.doi.org/10.1029/2000JC900029","http://dx.doi.org/10.1029/2000JC900029")</f>
        <v>http://dx.doi.org/10.1029/2000JC900029</v>
      </c>
      <c r="BG800" t="s">
        <v>74</v>
      </c>
      <c r="BH800" t="s">
        <v>74</v>
      </c>
      <c r="BI800">
        <v>17</v>
      </c>
      <c r="BJ800" t="s">
        <v>252</v>
      </c>
      <c r="BK800" t="s">
        <v>94</v>
      </c>
      <c r="BL800" t="s">
        <v>252</v>
      </c>
      <c r="BM800" t="s">
        <v>10593</v>
      </c>
      <c r="BN800" t="s">
        <v>74</v>
      </c>
      <c r="BO800" t="s">
        <v>2428</v>
      </c>
      <c r="BP800" t="s">
        <v>74</v>
      </c>
      <c r="BQ800" t="s">
        <v>74</v>
      </c>
      <c r="BR800" t="s">
        <v>97</v>
      </c>
      <c r="BS800" t="s">
        <v>10606</v>
      </c>
      <c r="BT800" t="str">
        <f>HYPERLINK("https%3A%2F%2Fwww.webofscience.com%2Fwos%2Fwoscc%2Ffull-record%2FWOS:000088260600023","View Full Record in Web of Science")</f>
        <v>View Full Record in Web of Science</v>
      </c>
    </row>
    <row r="801" spans="1:72" x14ac:dyDescent="0.15">
      <c r="A801" t="s">
        <v>72</v>
      </c>
      <c r="B801" t="s">
        <v>10607</v>
      </c>
      <c r="C801" t="s">
        <v>74</v>
      </c>
      <c r="D801" t="s">
        <v>74</v>
      </c>
      <c r="E801" t="s">
        <v>74</v>
      </c>
      <c r="F801" t="s">
        <v>10607</v>
      </c>
      <c r="G801" t="s">
        <v>74</v>
      </c>
      <c r="H801" t="s">
        <v>74</v>
      </c>
      <c r="I801" t="s">
        <v>10608</v>
      </c>
      <c r="J801" t="s">
        <v>4907</v>
      </c>
      <c r="K801" t="s">
        <v>74</v>
      </c>
      <c r="L801" t="s">
        <v>74</v>
      </c>
      <c r="M801" t="s">
        <v>77</v>
      </c>
      <c r="N801" t="s">
        <v>78</v>
      </c>
      <c r="O801" t="s">
        <v>74</v>
      </c>
      <c r="P801" t="s">
        <v>74</v>
      </c>
      <c r="Q801" t="s">
        <v>74</v>
      </c>
      <c r="R801" t="s">
        <v>74</v>
      </c>
      <c r="S801" t="s">
        <v>74</v>
      </c>
      <c r="T801" t="s">
        <v>74</v>
      </c>
      <c r="U801" t="s">
        <v>10609</v>
      </c>
      <c r="V801" t="s">
        <v>10610</v>
      </c>
      <c r="W801" t="s">
        <v>10611</v>
      </c>
      <c r="X801" t="s">
        <v>10612</v>
      </c>
      <c r="Y801" t="s">
        <v>10613</v>
      </c>
      <c r="Z801" t="s">
        <v>10614</v>
      </c>
      <c r="AA801" t="s">
        <v>10615</v>
      </c>
      <c r="AB801" t="s">
        <v>10616</v>
      </c>
      <c r="AC801" t="s">
        <v>74</v>
      </c>
      <c r="AD801" t="s">
        <v>74</v>
      </c>
      <c r="AE801" t="s">
        <v>74</v>
      </c>
      <c r="AF801" t="s">
        <v>74</v>
      </c>
      <c r="AG801">
        <v>28</v>
      </c>
      <c r="AH801">
        <v>25</v>
      </c>
      <c r="AI801">
        <v>25</v>
      </c>
      <c r="AJ801">
        <v>0</v>
      </c>
      <c r="AK801">
        <v>5</v>
      </c>
      <c r="AL801" t="s">
        <v>1059</v>
      </c>
      <c r="AM801" t="s">
        <v>1060</v>
      </c>
      <c r="AN801" t="s">
        <v>1061</v>
      </c>
      <c r="AO801" t="s">
        <v>4916</v>
      </c>
      <c r="AP801" t="s">
        <v>4917</v>
      </c>
      <c r="AQ801" t="s">
        <v>74</v>
      </c>
      <c r="AR801" t="s">
        <v>4918</v>
      </c>
      <c r="AS801" t="s">
        <v>4919</v>
      </c>
      <c r="AT801" t="s">
        <v>10562</v>
      </c>
      <c r="AU801">
        <v>2000</v>
      </c>
      <c r="AV801">
        <v>105</v>
      </c>
      <c r="AW801" t="s">
        <v>10591</v>
      </c>
      <c r="AX801" t="s">
        <v>74</v>
      </c>
      <c r="AY801" t="s">
        <v>74</v>
      </c>
      <c r="AZ801" t="s">
        <v>74</v>
      </c>
      <c r="BA801" t="s">
        <v>74</v>
      </c>
      <c r="BB801">
        <v>17161</v>
      </c>
      <c r="BC801">
        <v>17171</v>
      </c>
      <c r="BD801" t="s">
        <v>74</v>
      </c>
      <c r="BE801" t="s">
        <v>10617</v>
      </c>
      <c r="BF801" t="str">
        <f>HYPERLINK("http://dx.doi.org/10.1029/1999JC000157","http://dx.doi.org/10.1029/1999JC000157")</f>
        <v>http://dx.doi.org/10.1029/1999JC000157</v>
      </c>
      <c r="BG801" t="s">
        <v>74</v>
      </c>
      <c r="BH801" t="s">
        <v>74</v>
      </c>
      <c r="BI801">
        <v>11</v>
      </c>
      <c r="BJ801" t="s">
        <v>252</v>
      </c>
      <c r="BK801" t="s">
        <v>94</v>
      </c>
      <c r="BL801" t="s">
        <v>252</v>
      </c>
      <c r="BM801" t="s">
        <v>10593</v>
      </c>
      <c r="BN801" t="s">
        <v>74</v>
      </c>
      <c r="BO801" t="s">
        <v>1068</v>
      </c>
      <c r="BP801" t="s">
        <v>74</v>
      </c>
      <c r="BQ801" t="s">
        <v>74</v>
      </c>
      <c r="BR801" t="s">
        <v>97</v>
      </c>
      <c r="BS801" t="s">
        <v>10618</v>
      </c>
      <c r="BT801" t="str">
        <f>HYPERLINK("https%3A%2F%2Fwww.webofscience.com%2Fwos%2Fwoscc%2Ffull-record%2FWOS:000088260600024","View Full Record in Web of Science")</f>
        <v>View Full Record in Web of Science</v>
      </c>
    </row>
    <row r="802" spans="1:72" x14ac:dyDescent="0.15">
      <c r="A802" t="s">
        <v>72</v>
      </c>
      <c r="B802" t="s">
        <v>10619</v>
      </c>
      <c r="C802" t="s">
        <v>74</v>
      </c>
      <c r="D802" t="s">
        <v>74</v>
      </c>
      <c r="E802" t="s">
        <v>74</v>
      </c>
      <c r="F802" t="s">
        <v>10619</v>
      </c>
      <c r="G802" t="s">
        <v>74</v>
      </c>
      <c r="H802" t="s">
        <v>74</v>
      </c>
      <c r="I802" t="s">
        <v>10620</v>
      </c>
      <c r="J802" t="s">
        <v>4938</v>
      </c>
      <c r="K802" t="s">
        <v>74</v>
      </c>
      <c r="L802" t="s">
        <v>74</v>
      </c>
      <c r="M802" t="s">
        <v>77</v>
      </c>
      <c r="N802" t="s">
        <v>78</v>
      </c>
      <c r="O802" t="s">
        <v>74</v>
      </c>
      <c r="P802" t="s">
        <v>74</v>
      </c>
      <c r="Q802" t="s">
        <v>74</v>
      </c>
      <c r="R802" t="s">
        <v>74</v>
      </c>
      <c r="S802" t="s">
        <v>74</v>
      </c>
      <c r="T802" t="s">
        <v>10621</v>
      </c>
      <c r="U802" t="s">
        <v>10622</v>
      </c>
      <c r="V802" t="s">
        <v>10623</v>
      </c>
      <c r="W802" t="s">
        <v>833</v>
      </c>
      <c r="X802" t="s">
        <v>221</v>
      </c>
      <c r="Y802" t="s">
        <v>10624</v>
      </c>
      <c r="Z802" t="s">
        <v>74</v>
      </c>
      <c r="AA802" t="s">
        <v>74</v>
      </c>
      <c r="AB802" t="s">
        <v>74</v>
      </c>
      <c r="AC802" t="s">
        <v>74</v>
      </c>
      <c r="AD802" t="s">
        <v>74</v>
      </c>
      <c r="AE802" t="s">
        <v>74</v>
      </c>
      <c r="AF802" t="s">
        <v>74</v>
      </c>
      <c r="AG802">
        <v>72</v>
      </c>
      <c r="AH802">
        <v>85</v>
      </c>
      <c r="AI802">
        <v>92</v>
      </c>
      <c r="AJ802">
        <v>0</v>
      </c>
      <c r="AK802">
        <v>11</v>
      </c>
      <c r="AL802" t="s">
        <v>1120</v>
      </c>
      <c r="AM802" t="s">
        <v>1121</v>
      </c>
      <c r="AN802" t="s">
        <v>2394</v>
      </c>
      <c r="AO802" t="s">
        <v>4944</v>
      </c>
      <c r="AP802" t="s">
        <v>74</v>
      </c>
      <c r="AQ802" t="s">
        <v>74</v>
      </c>
      <c r="AR802" t="s">
        <v>4945</v>
      </c>
      <c r="AS802" t="s">
        <v>4946</v>
      </c>
      <c r="AT802" t="s">
        <v>10562</v>
      </c>
      <c r="AU802">
        <v>2000</v>
      </c>
      <c r="AV802">
        <v>167</v>
      </c>
      <c r="AW802" t="s">
        <v>1046</v>
      </c>
      <c r="AX802" t="s">
        <v>74</v>
      </c>
      <c r="AY802" t="s">
        <v>74</v>
      </c>
      <c r="AZ802" t="s">
        <v>74</v>
      </c>
      <c r="BA802" t="s">
        <v>74</v>
      </c>
      <c r="BB802">
        <v>313</v>
      </c>
      <c r="BC802">
        <v>338</v>
      </c>
      <c r="BD802" t="s">
        <v>74</v>
      </c>
      <c r="BE802" t="s">
        <v>10625</v>
      </c>
      <c r="BF802" t="str">
        <f>HYPERLINK("http://dx.doi.org/10.1016/S0025-3227(00)00039-6","http://dx.doi.org/10.1016/S0025-3227(00)00039-6")</f>
        <v>http://dx.doi.org/10.1016/S0025-3227(00)00039-6</v>
      </c>
      <c r="BG802" t="s">
        <v>74</v>
      </c>
      <c r="BH802" t="s">
        <v>74</v>
      </c>
      <c r="BI802">
        <v>26</v>
      </c>
      <c r="BJ802" t="s">
        <v>4948</v>
      </c>
      <c r="BK802" t="s">
        <v>94</v>
      </c>
      <c r="BL802" t="s">
        <v>4949</v>
      </c>
      <c r="BM802" t="s">
        <v>10626</v>
      </c>
      <c r="BN802" t="s">
        <v>74</v>
      </c>
      <c r="BO802" t="s">
        <v>74</v>
      </c>
      <c r="BP802" t="s">
        <v>74</v>
      </c>
      <c r="BQ802" t="s">
        <v>74</v>
      </c>
      <c r="BR802" t="s">
        <v>97</v>
      </c>
      <c r="BS802" t="s">
        <v>10627</v>
      </c>
      <c r="BT802" t="str">
        <f>HYPERLINK("https%3A%2F%2Fwww.webofscience.com%2Fwos%2Fwoscc%2Ffull-record%2FWOS:000088187100008","View Full Record in Web of Science")</f>
        <v>View Full Record in Web of Science</v>
      </c>
    </row>
    <row r="803" spans="1:72" x14ac:dyDescent="0.15">
      <c r="A803" t="s">
        <v>72</v>
      </c>
      <c r="B803" t="s">
        <v>9282</v>
      </c>
      <c r="C803" t="s">
        <v>74</v>
      </c>
      <c r="D803" t="s">
        <v>74</v>
      </c>
      <c r="E803" t="s">
        <v>74</v>
      </c>
      <c r="F803" t="s">
        <v>9282</v>
      </c>
      <c r="G803" t="s">
        <v>74</v>
      </c>
      <c r="H803" t="s">
        <v>74</v>
      </c>
      <c r="I803" t="s">
        <v>10628</v>
      </c>
      <c r="J803" t="s">
        <v>7951</v>
      </c>
      <c r="K803" t="s">
        <v>74</v>
      </c>
      <c r="L803" t="s">
        <v>74</v>
      </c>
      <c r="M803" t="s">
        <v>77</v>
      </c>
      <c r="N803" t="s">
        <v>78</v>
      </c>
      <c r="O803" t="s">
        <v>74</v>
      </c>
      <c r="P803" t="s">
        <v>74</v>
      </c>
      <c r="Q803" t="s">
        <v>74</v>
      </c>
      <c r="R803" t="s">
        <v>74</v>
      </c>
      <c r="S803" t="s">
        <v>74</v>
      </c>
      <c r="T803" t="s">
        <v>10629</v>
      </c>
      <c r="U803" t="s">
        <v>10630</v>
      </c>
      <c r="V803" t="s">
        <v>10631</v>
      </c>
      <c r="W803" t="s">
        <v>833</v>
      </c>
      <c r="X803" t="s">
        <v>221</v>
      </c>
      <c r="Y803" t="s">
        <v>10632</v>
      </c>
      <c r="Z803" t="s">
        <v>74</v>
      </c>
      <c r="AA803" t="s">
        <v>9291</v>
      </c>
      <c r="AB803" t="s">
        <v>74</v>
      </c>
      <c r="AC803" t="s">
        <v>74</v>
      </c>
      <c r="AD803" t="s">
        <v>74</v>
      </c>
      <c r="AE803" t="s">
        <v>74</v>
      </c>
      <c r="AF803" t="s">
        <v>74</v>
      </c>
      <c r="AG803">
        <v>52</v>
      </c>
      <c r="AH803">
        <v>73</v>
      </c>
      <c r="AI803">
        <v>82</v>
      </c>
      <c r="AJ803">
        <v>0</v>
      </c>
      <c r="AK803">
        <v>20</v>
      </c>
      <c r="AL803" t="s">
        <v>1120</v>
      </c>
      <c r="AM803" t="s">
        <v>1121</v>
      </c>
      <c r="AN803" t="s">
        <v>2394</v>
      </c>
      <c r="AO803" t="s">
        <v>7958</v>
      </c>
      <c r="AP803" t="s">
        <v>74</v>
      </c>
      <c r="AQ803" t="s">
        <v>74</v>
      </c>
      <c r="AR803" t="s">
        <v>7960</v>
      </c>
      <c r="AS803" t="s">
        <v>7961</v>
      </c>
      <c r="AT803" t="s">
        <v>10562</v>
      </c>
      <c r="AU803">
        <v>2000</v>
      </c>
      <c r="AV803">
        <v>160</v>
      </c>
      <c r="AW803" t="s">
        <v>1046</v>
      </c>
      <c r="AX803" t="s">
        <v>74</v>
      </c>
      <c r="AY803" t="s">
        <v>74</v>
      </c>
      <c r="AZ803" t="s">
        <v>74</v>
      </c>
      <c r="BA803" t="s">
        <v>74</v>
      </c>
      <c r="BB803">
        <v>317</v>
      </c>
      <c r="BC803">
        <v>328</v>
      </c>
      <c r="BD803" t="s">
        <v>74</v>
      </c>
      <c r="BE803" t="s">
        <v>10633</v>
      </c>
      <c r="BF803" t="str">
        <f>HYPERLINK("http://dx.doi.org/10.1016/S0031-0182(00)00079-1","http://dx.doi.org/10.1016/S0031-0182(00)00079-1")</f>
        <v>http://dx.doi.org/10.1016/S0031-0182(00)00079-1</v>
      </c>
      <c r="BG803" t="s">
        <v>74</v>
      </c>
      <c r="BH803" t="s">
        <v>74</v>
      </c>
      <c r="BI803">
        <v>12</v>
      </c>
      <c r="BJ803" t="s">
        <v>7963</v>
      </c>
      <c r="BK803" t="s">
        <v>94</v>
      </c>
      <c r="BL803" t="s">
        <v>7964</v>
      </c>
      <c r="BM803" t="s">
        <v>10634</v>
      </c>
      <c r="BN803" t="s">
        <v>74</v>
      </c>
      <c r="BO803" t="s">
        <v>74</v>
      </c>
      <c r="BP803" t="s">
        <v>74</v>
      </c>
      <c r="BQ803" t="s">
        <v>74</v>
      </c>
      <c r="BR803" t="s">
        <v>97</v>
      </c>
      <c r="BS803" t="s">
        <v>10635</v>
      </c>
      <c r="BT803" t="str">
        <f>HYPERLINK("https%3A%2F%2Fwww.webofscience.com%2Fwos%2Fwoscc%2Ffull-record%2FWOS:000087958600010","View Full Record in Web of Science")</f>
        <v>View Full Record in Web of Science</v>
      </c>
    </row>
    <row r="804" spans="1:72" x14ac:dyDescent="0.15">
      <c r="A804" t="s">
        <v>72</v>
      </c>
      <c r="B804" t="s">
        <v>10636</v>
      </c>
      <c r="C804" t="s">
        <v>74</v>
      </c>
      <c r="D804" t="s">
        <v>74</v>
      </c>
      <c r="E804" t="s">
        <v>74</v>
      </c>
      <c r="F804" t="s">
        <v>10636</v>
      </c>
      <c r="G804" t="s">
        <v>74</v>
      </c>
      <c r="H804" t="s">
        <v>74</v>
      </c>
      <c r="I804" t="s">
        <v>10637</v>
      </c>
      <c r="J804" t="s">
        <v>4967</v>
      </c>
      <c r="K804" t="s">
        <v>74</v>
      </c>
      <c r="L804" t="s">
        <v>74</v>
      </c>
      <c r="M804" t="s">
        <v>77</v>
      </c>
      <c r="N804" t="s">
        <v>78</v>
      </c>
      <c r="O804" t="s">
        <v>74</v>
      </c>
      <c r="P804" t="s">
        <v>74</v>
      </c>
      <c r="Q804" t="s">
        <v>74</v>
      </c>
      <c r="R804" t="s">
        <v>74</v>
      </c>
      <c r="S804" t="s">
        <v>74</v>
      </c>
      <c r="T804" t="s">
        <v>74</v>
      </c>
      <c r="U804" t="s">
        <v>10638</v>
      </c>
      <c r="V804" t="s">
        <v>10639</v>
      </c>
      <c r="W804" t="s">
        <v>10640</v>
      </c>
      <c r="X804" t="s">
        <v>4449</v>
      </c>
      <c r="Y804" t="s">
        <v>10641</v>
      </c>
      <c r="Z804" t="s">
        <v>10642</v>
      </c>
      <c r="AA804" t="s">
        <v>74</v>
      </c>
      <c r="AB804" t="s">
        <v>74</v>
      </c>
      <c r="AC804" t="s">
        <v>74</v>
      </c>
      <c r="AD804" t="s">
        <v>74</v>
      </c>
      <c r="AE804" t="s">
        <v>74</v>
      </c>
      <c r="AF804" t="s">
        <v>74</v>
      </c>
      <c r="AG804">
        <v>31</v>
      </c>
      <c r="AH804">
        <v>58</v>
      </c>
      <c r="AI804">
        <v>61</v>
      </c>
      <c r="AJ804">
        <v>0</v>
      </c>
      <c r="AK804">
        <v>4</v>
      </c>
      <c r="AL804" t="s">
        <v>1059</v>
      </c>
      <c r="AM804" t="s">
        <v>1060</v>
      </c>
      <c r="AN804" t="s">
        <v>1061</v>
      </c>
      <c r="AO804" t="s">
        <v>4973</v>
      </c>
      <c r="AP804" t="s">
        <v>4974</v>
      </c>
      <c r="AQ804" t="s">
        <v>74</v>
      </c>
      <c r="AR804" t="s">
        <v>4975</v>
      </c>
      <c r="AS804" t="s">
        <v>4976</v>
      </c>
      <c r="AT804" t="s">
        <v>10643</v>
      </c>
      <c r="AU804">
        <v>2000</v>
      </c>
      <c r="AV804">
        <v>105</v>
      </c>
      <c r="AW804" t="s">
        <v>10644</v>
      </c>
      <c r="AX804" t="s">
        <v>74</v>
      </c>
      <c r="AY804" t="s">
        <v>74</v>
      </c>
      <c r="AZ804" t="s">
        <v>74</v>
      </c>
      <c r="BA804" t="s">
        <v>74</v>
      </c>
      <c r="BB804">
        <v>16097</v>
      </c>
      <c r="BC804">
        <v>16118</v>
      </c>
      <c r="BD804" t="s">
        <v>74</v>
      </c>
      <c r="BE804" t="s">
        <v>10645</v>
      </c>
      <c r="BF804" t="str">
        <f>HYPERLINK("http://dx.doi.org/10.1029/2000JB900077","http://dx.doi.org/10.1029/2000JB900077")</f>
        <v>http://dx.doi.org/10.1029/2000JB900077</v>
      </c>
      <c r="BG804" t="s">
        <v>74</v>
      </c>
      <c r="BH804" t="s">
        <v>74</v>
      </c>
      <c r="BI804">
        <v>22</v>
      </c>
      <c r="BJ804" t="s">
        <v>953</v>
      </c>
      <c r="BK804" t="s">
        <v>94</v>
      </c>
      <c r="BL804" t="s">
        <v>953</v>
      </c>
      <c r="BM804" t="s">
        <v>10646</v>
      </c>
      <c r="BN804" t="s">
        <v>74</v>
      </c>
      <c r="BO804" t="s">
        <v>1755</v>
      </c>
      <c r="BP804" t="s">
        <v>74</v>
      </c>
      <c r="BQ804" t="s">
        <v>74</v>
      </c>
      <c r="BR804" t="s">
        <v>97</v>
      </c>
      <c r="BS804" t="s">
        <v>10647</v>
      </c>
      <c r="BT804" t="str">
        <f>HYPERLINK("https%3A%2F%2Fwww.webofscience.com%2Fwos%2Fwoscc%2Ffull-record%2FWOS:000088262000001","View Full Record in Web of Science")</f>
        <v>View Full Record in Web of Science</v>
      </c>
    </row>
    <row r="805" spans="1:72" x14ac:dyDescent="0.15">
      <c r="A805" t="s">
        <v>72</v>
      </c>
      <c r="B805" t="s">
        <v>10648</v>
      </c>
      <c r="C805" t="s">
        <v>74</v>
      </c>
      <c r="D805" t="s">
        <v>74</v>
      </c>
      <c r="E805" t="s">
        <v>74</v>
      </c>
      <c r="F805" t="s">
        <v>10648</v>
      </c>
      <c r="G805" t="s">
        <v>74</v>
      </c>
      <c r="H805" t="s">
        <v>74</v>
      </c>
      <c r="I805" t="s">
        <v>10649</v>
      </c>
      <c r="J805" t="s">
        <v>4967</v>
      </c>
      <c r="K805" t="s">
        <v>74</v>
      </c>
      <c r="L805" t="s">
        <v>74</v>
      </c>
      <c r="M805" t="s">
        <v>77</v>
      </c>
      <c r="N805" t="s">
        <v>78</v>
      </c>
      <c r="O805" t="s">
        <v>74</v>
      </c>
      <c r="P805" t="s">
        <v>74</v>
      </c>
      <c r="Q805" t="s">
        <v>74</v>
      </c>
      <c r="R805" t="s">
        <v>74</v>
      </c>
      <c r="S805" t="s">
        <v>74</v>
      </c>
      <c r="T805" t="s">
        <v>74</v>
      </c>
      <c r="U805" t="s">
        <v>10650</v>
      </c>
      <c r="V805" t="s">
        <v>10651</v>
      </c>
      <c r="W805" t="s">
        <v>10652</v>
      </c>
      <c r="X805" t="s">
        <v>10653</v>
      </c>
      <c r="Y805" t="s">
        <v>10654</v>
      </c>
      <c r="Z805" t="s">
        <v>10655</v>
      </c>
      <c r="AA805" t="s">
        <v>74</v>
      </c>
      <c r="AB805" t="s">
        <v>74</v>
      </c>
      <c r="AC805" t="s">
        <v>74</v>
      </c>
      <c r="AD805" t="s">
        <v>74</v>
      </c>
      <c r="AE805" t="s">
        <v>74</v>
      </c>
      <c r="AF805" t="s">
        <v>74</v>
      </c>
      <c r="AG805">
        <v>21</v>
      </c>
      <c r="AH805">
        <v>89</v>
      </c>
      <c r="AI805">
        <v>99</v>
      </c>
      <c r="AJ805">
        <v>1</v>
      </c>
      <c r="AK805">
        <v>25</v>
      </c>
      <c r="AL805" t="s">
        <v>1059</v>
      </c>
      <c r="AM805" t="s">
        <v>1060</v>
      </c>
      <c r="AN805" t="s">
        <v>1061</v>
      </c>
      <c r="AO805" t="s">
        <v>4973</v>
      </c>
      <c r="AP805" t="s">
        <v>4974</v>
      </c>
      <c r="AQ805" t="s">
        <v>74</v>
      </c>
      <c r="AR805" t="s">
        <v>4975</v>
      </c>
      <c r="AS805" t="s">
        <v>4976</v>
      </c>
      <c r="AT805" t="s">
        <v>10643</v>
      </c>
      <c r="AU805">
        <v>2000</v>
      </c>
      <c r="AV805">
        <v>105</v>
      </c>
      <c r="AW805" t="s">
        <v>10644</v>
      </c>
      <c r="AX805" t="s">
        <v>74</v>
      </c>
      <c r="AY805" t="s">
        <v>74</v>
      </c>
      <c r="AZ805" t="s">
        <v>74</v>
      </c>
      <c r="BA805" t="s">
        <v>74</v>
      </c>
      <c r="BB805">
        <v>16279</v>
      </c>
      <c r="BC805">
        <v>16294</v>
      </c>
      <c r="BD805" t="s">
        <v>74</v>
      </c>
      <c r="BE805" t="s">
        <v>10656</v>
      </c>
      <c r="BF805" t="str">
        <f>HYPERLINK("http://dx.doi.org/10.1029/2000JB900113","http://dx.doi.org/10.1029/2000JB900113")</f>
        <v>http://dx.doi.org/10.1029/2000JB900113</v>
      </c>
      <c r="BG805" t="s">
        <v>74</v>
      </c>
      <c r="BH805" t="s">
        <v>74</v>
      </c>
      <c r="BI805">
        <v>16</v>
      </c>
      <c r="BJ805" t="s">
        <v>953</v>
      </c>
      <c r="BK805" t="s">
        <v>94</v>
      </c>
      <c r="BL805" t="s">
        <v>953</v>
      </c>
      <c r="BM805" t="s">
        <v>10646</v>
      </c>
      <c r="BN805" t="s">
        <v>74</v>
      </c>
      <c r="BO805" t="s">
        <v>74</v>
      </c>
      <c r="BP805" t="s">
        <v>74</v>
      </c>
      <c r="BQ805" t="s">
        <v>74</v>
      </c>
      <c r="BR805" t="s">
        <v>97</v>
      </c>
      <c r="BS805" t="s">
        <v>10657</v>
      </c>
      <c r="BT805" t="str">
        <f>HYPERLINK("https%3A%2F%2Fwww.webofscience.com%2Fwos%2Fwoscc%2Ffull-record%2FWOS:000088262000015","View Full Record in Web of Science")</f>
        <v>View Full Record in Web of Science</v>
      </c>
    </row>
    <row r="806" spans="1:72" x14ac:dyDescent="0.15">
      <c r="A806" t="s">
        <v>72</v>
      </c>
      <c r="B806" t="s">
        <v>10658</v>
      </c>
      <c r="C806" t="s">
        <v>74</v>
      </c>
      <c r="D806" t="s">
        <v>74</v>
      </c>
      <c r="E806" t="s">
        <v>74</v>
      </c>
      <c r="F806" t="s">
        <v>10658</v>
      </c>
      <c r="G806" t="s">
        <v>74</v>
      </c>
      <c r="H806" t="s">
        <v>74</v>
      </c>
      <c r="I806" t="s">
        <v>10659</v>
      </c>
      <c r="J806" t="s">
        <v>10660</v>
      </c>
      <c r="K806" t="s">
        <v>74</v>
      </c>
      <c r="L806" t="s">
        <v>74</v>
      </c>
      <c r="M806" t="s">
        <v>77</v>
      </c>
      <c r="N806" t="s">
        <v>78</v>
      </c>
      <c r="O806" t="s">
        <v>74</v>
      </c>
      <c r="P806" t="s">
        <v>74</v>
      </c>
      <c r="Q806" t="s">
        <v>74</v>
      </c>
      <c r="R806" t="s">
        <v>74</v>
      </c>
      <c r="S806" t="s">
        <v>74</v>
      </c>
      <c r="T806" t="s">
        <v>74</v>
      </c>
      <c r="U806" t="s">
        <v>10661</v>
      </c>
      <c r="V806" t="s">
        <v>10662</v>
      </c>
      <c r="W806" t="s">
        <v>10663</v>
      </c>
      <c r="X806" t="s">
        <v>10664</v>
      </c>
      <c r="Y806" t="s">
        <v>10665</v>
      </c>
      <c r="Z806" t="s">
        <v>74</v>
      </c>
      <c r="AA806" t="s">
        <v>10666</v>
      </c>
      <c r="AB806" t="s">
        <v>10667</v>
      </c>
      <c r="AC806" t="s">
        <v>74</v>
      </c>
      <c r="AD806" t="s">
        <v>74</v>
      </c>
      <c r="AE806" t="s">
        <v>74</v>
      </c>
      <c r="AF806" t="s">
        <v>74</v>
      </c>
      <c r="AG806">
        <v>40</v>
      </c>
      <c r="AH806">
        <v>35</v>
      </c>
      <c r="AI806">
        <v>37</v>
      </c>
      <c r="AJ806">
        <v>0</v>
      </c>
      <c r="AK806">
        <v>11</v>
      </c>
      <c r="AL806" t="s">
        <v>10668</v>
      </c>
      <c r="AM806" t="s">
        <v>1060</v>
      </c>
      <c r="AN806" t="s">
        <v>10669</v>
      </c>
      <c r="AO806" t="s">
        <v>10670</v>
      </c>
      <c r="AP806" t="s">
        <v>74</v>
      </c>
      <c r="AQ806" t="s">
        <v>74</v>
      </c>
      <c r="AR806" t="s">
        <v>10671</v>
      </c>
      <c r="AS806" t="s">
        <v>10672</v>
      </c>
      <c r="AT806" t="s">
        <v>10673</v>
      </c>
      <c r="AU806">
        <v>2000</v>
      </c>
      <c r="AV806">
        <v>85</v>
      </c>
      <c r="AW806" t="s">
        <v>10674</v>
      </c>
      <c r="AX806" t="s">
        <v>74</v>
      </c>
      <c r="AY806" t="s">
        <v>74</v>
      </c>
      <c r="AZ806" t="s">
        <v>74</v>
      </c>
      <c r="BA806" t="s">
        <v>74</v>
      </c>
      <c r="BB806">
        <v>953</v>
      </c>
      <c r="BC806">
        <v>962</v>
      </c>
      <c r="BD806" t="s">
        <v>74</v>
      </c>
      <c r="BE806" t="s">
        <v>10675</v>
      </c>
      <c r="BF806" t="str">
        <f>HYPERLINK("http://dx.doi.org/10.2138/am-2000-0709","http://dx.doi.org/10.2138/am-2000-0709")</f>
        <v>http://dx.doi.org/10.2138/am-2000-0709</v>
      </c>
      <c r="BG806" t="s">
        <v>74</v>
      </c>
      <c r="BH806" t="s">
        <v>74</v>
      </c>
      <c r="BI806">
        <v>10</v>
      </c>
      <c r="BJ806" t="s">
        <v>10676</v>
      </c>
      <c r="BK806" t="s">
        <v>94</v>
      </c>
      <c r="BL806" t="s">
        <v>10676</v>
      </c>
      <c r="BM806" t="s">
        <v>10677</v>
      </c>
      <c r="BN806" t="s">
        <v>74</v>
      </c>
      <c r="BO806" t="s">
        <v>74</v>
      </c>
      <c r="BP806" t="s">
        <v>74</v>
      </c>
      <c r="BQ806" t="s">
        <v>74</v>
      </c>
      <c r="BR806" t="s">
        <v>97</v>
      </c>
      <c r="BS806" t="s">
        <v>10678</v>
      </c>
      <c r="BT806" t="str">
        <f>HYPERLINK("https%3A%2F%2Fwww.webofscience.com%2Fwos%2Fwoscc%2Ffull-record%2FWOS:000087965500009","View Full Record in Web of Science")</f>
        <v>View Full Record in Web of Science</v>
      </c>
    </row>
    <row r="807" spans="1:72" x14ac:dyDescent="0.15">
      <c r="A807" t="s">
        <v>72</v>
      </c>
      <c r="B807" t="s">
        <v>10679</v>
      </c>
      <c r="C807" t="s">
        <v>74</v>
      </c>
      <c r="D807" t="s">
        <v>74</v>
      </c>
      <c r="E807" t="s">
        <v>74</v>
      </c>
      <c r="F807" t="s">
        <v>10679</v>
      </c>
      <c r="G807" t="s">
        <v>74</v>
      </c>
      <c r="H807" t="s">
        <v>74</v>
      </c>
      <c r="I807" t="s">
        <v>10680</v>
      </c>
      <c r="J807" t="s">
        <v>6382</v>
      </c>
      <c r="K807" t="s">
        <v>74</v>
      </c>
      <c r="L807" t="s">
        <v>74</v>
      </c>
      <c r="M807" t="s">
        <v>77</v>
      </c>
      <c r="N807" t="s">
        <v>78</v>
      </c>
      <c r="O807" t="s">
        <v>74</v>
      </c>
      <c r="P807" t="s">
        <v>74</v>
      </c>
      <c r="Q807" t="s">
        <v>74</v>
      </c>
      <c r="R807" t="s">
        <v>74</v>
      </c>
      <c r="S807" t="s">
        <v>74</v>
      </c>
      <c r="T807" t="s">
        <v>10681</v>
      </c>
      <c r="U807" t="s">
        <v>10682</v>
      </c>
      <c r="V807" t="s">
        <v>10683</v>
      </c>
      <c r="W807" t="s">
        <v>10684</v>
      </c>
      <c r="X807" t="s">
        <v>10685</v>
      </c>
      <c r="Y807" t="s">
        <v>10686</v>
      </c>
      <c r="Z807" t="s">
        <v>10687</v>
      </c>
      <c r="AA807" t="s">
        <v>74</v>
      </c>
      <c r="AB807" t="s">
        <v>74</v>
      </c>
      <c r="AC807" t="s">
        <v>74</v>
      </c>
      <c r="AD807" t="s">
        <v>74</v>
      </c>
      <c r="AE807" t="s">
        <v>74</v>
      </c>
      <c r="AF807" t="s">
        <v>74</v>
      </c>
      <c r="AG807">
        <v>25</v>
      </c>
      <c r="AH807">
        <v>86</v>
      </c>
      <c r="AI807">
        <v>89</v>
      </c>
      <c r="AJ807">
        <v>0</v>
      </c>
      <c r="AK807">
        <v>2</v>
      </c>
      <c r="AL807" t="s">
        <v>906</v>
      </c>
      <c r="AM807" t="s">
        <v>160</v>
      </c>
      <c r="AN807" t="s">
        <v>890</v>
      </c>
      <c r="AO807" t="s">
        <v>6392</v>
      </c>
      <c r="AP807" t="s">
        <v>74</v>
      </c>
      <c r="AQ807" t="s">
        <v>74</v>
      </c>
      <c r="AR807" t="s">
        <v>6393</v>
      </c>
      <c r="AS807" t="s">
        <v>6394</v>
      </c>
      <c r="AT807" t="s">
        <v>10688</v>
      </c>
      <c r="AU807">
        <v>2000</v>
      </c>
      <c r="AV807">
        <v>18</v>
      </c>
      <c r="AW807">
        <v>7</v>
      </c>
      <c r="AX807" t="s">
        <v>74</v>
      </c>
      <c r="AY807" t="s">
        <v>74</v>
      </c>
      <c r="AZ807" t="s">
        <v>74</v>
      </c>
      <c r="BA807" t="s">
        <v>74</v>
      </c>
      <c r="BB807">
        <v>766</v>
      </c>
      <c r="BC807">
        <v>781</v>
      </c>
      <c r="BD807" t="s">
        <v>74</v>
      </c>
      <c r="BE807" t="s">
        <v>10689</v>
      </c>
      <c r="BF807" t="str">
        <f>HYPERLINK("http://dx.doi.org/10.1007/s005850000233","http://dx.doi.org/10.1007/s005850000233")</f>
        <v>http://dx.doi.org/10.1007/s005850000233</v>
      </c>
      <c r="BG807" t="s">
        <v>74</v>
      </c>
      <c r="BH807" t="s">
        <v>74</v>
      </c>
      <c r="BI807">
        <v>16</v>
      </c>
      <c r="BJ807" t="s">
        <v>6397</v>
      </c>
      <c r="BK807" t="s">
        <v>94</v>
      </c>
      <c r="BL807" t="s">
        <v>6398</v>
      </c>
      <c r="BM807" t="s">
        <v>10690</v>
      </c>
      <c r="BN807" t="s">
        <v>74</v>
      </c>
      <c r="BO807" t="s">
        <v>6400</v>
      </c>
      <c r="BP807" t="s">
        <v>74</v>
      </c>
      <c r="BQ807" t="s">
        <v>74</v>
      </c>
      <c r="BR807" t="s">
        <v>97</v>
      </c>
      <c r="BS807" t="s">
        <v>10691</v>
      </c>
      <c r="BT807" t="str">
        <f>HYPERLINK("https%3A%2F%2Fwww.webofscience.com%2Fwos%2Fwoscc%2Ffull-record%2FWOS:000088397300005","View Full Record in Web of Science")</f>
        <v>View Full Record in Web of Science</v>
      </c>
    </row>
    <row r="808" spans="1:72" x14ac:dyDescent="0.15">
      <c r="A808" t="s">
        <v>72</v>
      </c>
      <c r="B808" t="s">
        <v>10692</v>
      </c>
      <c r="C808" t="s">
        <v>74</v>
      </c>
      <c r="D808" t="s">
        <v>74</v>
      </c>
      <c r="E808" t="s">
        <v>74</v>
      </c>
      <c r="F808" t="s">
        <v>10692</v>
      </c>
      <c r="G808" t="s">
        <v>74</v>
      </c>
      <c r="H808" t="s">
        <v>74</v>
      </c>
      <c r="I808" t="s">
        <v>10693</v>
      </c>
      <c r="J808" t="s">
        <v>10694</v>
      </c>
      <c r="K808" t="s">
        <v>74</v>
      </c>
      <c r="L808" t="s">
        <v>74</v>
      </c>
      <c r="M808" t="s">
        <v>77</v>
      </c>
      <c r="N808" t="s">
        <v>78</v>
      </c>
      <c r="O808" t="s">
        <v>74</v>
      </c>
      <c r="P808" t="s">
        <v>74</v>
      </c>
      <c r="Q808" t="s">
        <v>74</v>
      </c>
      <c r="R808" t="s">
        <v>74</v>
      </c>
      <c r="S808" t="s">
        <v>74</v>
      </c>
      <c r="T808" t="s">
        <v>10695</v>
      </c>
      <c r="U808" t="s">
        <v>10696</v>
      </c>
      <c r="V808" t="s">
        <v>10697</v>
      </c>
      <c r="W808" t="s">
        <v>10698</v>
      </c>
      <c r="X808" t="s">
        <v>10699</v>
      </c>
      <c r="Y808" t="s">
        <v>10700</v>
      </c>
      <c r="Z808" t="s">
        <v>10701</v>
      </c>
      <c r="AA808" t="s">
        <v>74</v>
      </c>
      <c r="AB808" t="s">
        <v>74</v>
      </c>
      <c r="AC808" t="s">
        <v>74</v>
      </c>
      <c r="AD808" t="s">
        <v>74</v>
      </c>
      <c r="AE808" t="s">
        <v>74</v>
      </c>
      <c r="AF808" t="s">
        <v>74</v>
      </c>
      <c r="AG808">
        <v>44</v>
      </c>
      <c r="AH808">
        <v>90</v>
      </c>
      <c r="AI808">
        <v>103</v>
      </c>
      <c r="AJ808">
        <v>0</v>
      </c>
      <c r="AK808">
        <v>10</v>
      </c>
      <c r="AL808" t="s">
        <v>758</v>
      </c>
      <c r="AM808" t="s">
        <v>246</v>
      </c>
      <c r="AN808" t="s">
        <v>759</v>
      </c>
      <c r="AO808" t="s">
        <v>10702</v>
      </c>
      <c r="AP808" t="s">
        <v>10703</v>
      </c>
      <c r="AQ808" t="s">
        <v>74</v>
      </c>
      <c r="AR808" t="s">
        <v>10704</v>
      </c>
      <c r="AS808" t="s">
        <v>10705</v>
      </c>
      <c r="AT808" t="s">
        <v>10688</v>
      </c>
      <c r="AU808">
        <v>2000</v>
      </c>
      <c r="AV808">
        <v>22</v>
      </c>
      <c r="AW808">
        <v>4</v>
      </c>
      <c r="AX808" t="s">
        <v>74</v>
      </c>
      <c r="AY808" t="s">
        <v>74</v>
      </c>
      <c r="AZ808" t="s">
        <v>74</v>
      </c>
      <c r="BA808" t="s">
        <v>74</v>
      </c>
      <c r="BB808">
        <v>269</v>
      </c>
      <c r="BC808">
        <v>287</v>
      </c>
      <c r="BD808" t="s">
        <v>74</v>
      </c>
      <c r="BE808" t="s">
        <v>10706</v>
      </c>
      <c r="BF808" t="str">
        <f>HYPERLINK("http://dx.doi.org/10.1016/S0144-8609(00)00054-6","http://dx.doi.org/10.1016/S0144-8609(00)00054-6")</f>
        <v>http://dx.doi.org/10.1016/S0144-8609(00)00054-6</v>
      </c>
      <c r="BG808" t="s">
        <v>74</v>
      </c>
      <c r="BH808" t="s">
        <v>74</v>
      </c>
      <c r="BI808">
        <v>19</v>
      </c>
      <c r="BJ808" t="s">
        <v>10707</v>
      </c>
      <c r="BK808" t="s">
        <v>94</v>
      </c>
      <c r="BL808" t="s">
        <v>10708</v>
      </c>
      <c r="BM808" t="s">
        <v>10709</v>
      </c>
      <c r="BN808" t="s">
        <v>74</v>
      </c>
      <c r="BO808" t="s">
        <v>74</v>
      </c>
      <c r="BP808" t="s">
        <v>74</v>
      </c>
      <c r="BQ808" t="s">
        <v>74</v>
      </c>
      <c r="BR808" t="s">
        <v>97</v>
      </c>
      <c r="BS808" t="s">
        <v>10710</v>
      </c>
      <c r="BT808" t="str">
        <f>HYPERLINK("https%3A%2F%2Fwww.webofscience.com%2Fwos%2Fwoscc%2Ffull-record%2FWOS:000087484800003","View Full Record in Web of Science")</f>
        <v>View Full Record in Web of Science</v>
      </c>
    </row>
    <row r="809" spans="1:72" x14ac:dyDescent="0.15">
      <c r="A809" t="s">
        <v>72</v>
      </c>
      <c r="B809" t="s">
        <v>10711</v>
      </c>
      <c r="C809" t="s">
        <v>74</v>
      </c>
      <c r="D809" t="s">
        <v>74</v>
      </c>
      <c r="E809" t="s">
        <v>74</v>
      </c>
      <c r="F809" t="s">
        <v>10711</v>
      </c>
      <c r="G809" t="s">
        <v>74</v>
      </c>
      <c r="H809" t="s">
        <v>74</v>
      </c>
      <c r="I809" t="s">
        <v>10712</v>
      </c>
      <c r="J809" t="s">
        <v>10713</v>
      </c>
      <c r="K809" t="s">
        <v>74</v>
      </c>
      <c r="L809" t="s">
        <v>74</v>
      </c>
      <c r="M809" t="s">
        <v>77</v>
      </c>
      <c r="N809" t="s">
        <v>78</v>
      </c>
      <c r="O809" t="s">
        <v>74</v>
      </c>
      <c r="P809" t="s">
        <v>74</v>
      </c>
      <c r="Q809" t="s">
        <v>74</v>
      </c>
      <c r="R809" t="s">
        <v>74</v>
      </c>
      <c r="S809" t="s">
        <v>74</v>
      </c>
      <c r="T809" t="s">
        <v>10714</v>
      </c>
      <c r="U809" t="s">
        <v>10715</v>
      </c>
      <c r="V809" t="s">
        <v>74</v>
      </c>
      <c r="W809" t="s">
        <v>10716</v>
      </c>
      <c r="X809" t="s">
        <v>10717</v>
      </c>
      <c r="Y809" t="s">
        <v>10718</v>
      </c>
      <c r="Z809" t="s">
        <v>10719</v>
      </c>
      <c r="AA809" t="s">
        <v>74</v>
      </c>
      <c r="AB809" t="s">
        <v>74</v>
      </c>
      <c r="AC809" t="s">
        <v>74</v>
      </c>
      <c r="AD809" t="s">
        <v>74</v>
      </c>
      <c r="AE809" t="s">
        <v>74</v>
      </c>
      <c r="AF809" t="s">
        <v>74</v>
      </c>
      <c r="AG809">
        <v>6</v>
      </c>
      <c r="AH809">
        <v>11</v>
      </c>
      <c r="AI809">
        <v>11</v>
      </c>
      <c r="AJ809">
        <v>0</v>
      </c>
      <c r="AK809">
        <v>4</v>
      </c>
      <c r="AL809" t="s">
        <v>245</v>
      </c>
      <c r="AM809" t="s">
        <v>246</v>
      </c>
      <c r="AN809" t="s">
        <v>247</v>
      </c>
      <c r="AO809" t="s">
        <v>10720</v>
      </c>
      <c r="AP809" t="s">
        <v>10721</v>
      </c>
      <c r="AQ809" t="s">
        <v>74</v>
      </c>
      <c r="AR809" t="s">
        <v>10722</v>
      </c>
      <c r="AS809" t="s">
        <v>10723</v>
      </c>
      <c r="AT809" t="s">
        <v>10688</v>
      </c>
      <c r="AU809">
        <v>2000</v>
      </c>
      <c r="AV809">
        <v>28</v>
      </c>
      <c r="AW809">
        <v>6</v>
      </c>
      <c r="AX809" t="s">
        <v>74</v>
      </c>
      <c r="AY809" t="s">
        <v>74</v>
      </c>
      <c r="AZ809" t="s">
        <v>74</v>
      </c>
      <c r="BA809" t="s">
        <v>74</v>
      </c>
      <c r="BB809">
        <v>589</v>
      </c>
      <c r="BC809">
        <v>590</v>
      </c>
      <c r="BD809" t="s">
        <v>74</v>
      </c>
      <c r="BE809" t="s">
        <v>10724</v>
      </c>
      <c r="BF809" t="str">
        <f>HYPERLINK("http://dx.doi.org/10.1016/S0305-1978(99)00092-7","http://dx.doi.org/10.1016/S0305-1978(99)00092-7")</f>
        <v>http://dx.doi.org/10.1016/S0305-1978(99)00092-7</v>
      </c>
      <c r="BG809" t="s">
        <v>74</v>
      </c>
      <c r="BH809" t="s">
        <v>74</v>
      </c>
      <c r="BI809">
        <v>2</v>
      </c>
      <c r="BJ809" t="s">
        <v>10725</v>
      </c>
      <c r="BK809" t="s">
        <v>94</v>
      </c>
      <c r="BL809" t="s">
        <v>10726</v>
      </c>
      <c r="BM809" t="s">
        <v>10727</v>
      </c>
      <c r="BN809">
        <v>10793258</v>
      </c>
      <c r="BO809" t="s">
        <v>74</v>
      </c>
      <c r="BP809" t="s">
        <v>74</v>
      </c>
      <c r="BQ809" t="s">
        <v>74</v>
      </c>
      <c r="BR809" t="s">
        <v>97</v>
      </c>
      <c r="BS809" t="s">
        <v>10728</v>
      </c>
      <c r="BT809" t="str">
        <f>HYPERLINK("https%3A%2F%2Fwww.webofscience.com%2Fwos%2Fwoscc%2Ffull-record%2FWOS:000087157500008","View Full Record in Web of Science")</f>
        <v>View Full Record in Web of Science</v>
      </c>
    </row>
    <row r="810" spans="1:72" x14ac:dyDescent="0.15">
      <c r="A810" t="s">
        <v>72</v>
      </c>
      <c r="B810" t="s">
        <v>8706</v>
      </c>
      <c r="C810" t="s">
        <v>74</v>
      </c>
      <c r="D810" t="s">
        <v>74</v>
      </c>
      <c r="E810" t="s">
        <v>74</v>
      </c>
      <c r="F810" t="s">
        <v>8706</v>
      </c>
      <c r="G810" t="s">
        <v>74</v>
      </c>
      <c r="H810" t="s">
        <v>74</v>
      </c>
      <c r="I810" t="s">
        <v>10729</v>
      </c>
      <c r="J810" t="s">
        <v>8708</v>
      </c>
      <c r="K810" t="s">
        <v>74</v>
      </c>
      <c r="L810" t="s">
        <v>74</v>
      </c>
      <c r="M810" t="s">
        <v>77</v>
      </c>
      <c r="N810" t="s">
        <v>78</v>
      </c>
      <c r="O810" t="s">
        <v>74</v>
      </c>
      <c r="P810" t="s">
        <v>74</v>
      </c>
      <c r="Q810" t="s">
        <v>74</v>
      </c>
      <c r="R810" t="s">
        <v>74</v>
      </c>
      <c r="S810" t="s">
        <v>74</v>
      </c>
      <c r="T810" t="s">
        <v>10730</v>
      </c>
      <c r="U810" t="s">
        <v>74</v>
      </c>
      <c r="V810" t="s">
        <v>10731</v>
      </c>
      <c r="W810" t="s">
        <v>8711</v>
      </c>
      <c r="X810" t="s">
        <v>8712</v>
      </c>
      <c r="Y810" t="s">
        <v>10732</v>
      </c>
      <c r="Z810" t="s">
        <v>74</v>
      </c>
      <c r="AA810" t="s">
        <v>74</v>
      </c>
      <c r="AB810" t="s">
        <v>74</v>
      </c>
      <c r="AC810" t="s">
        <v>74</v>
      </c>
      <c r="AD810" t="s">
        <v>74</v>
      </c>
      <c r="AE810" t="s">
        <v>74</v>
      </c>
      <c r="AF810" t="s">
        <v>74</v>
      </c>
      <c r="AG810">
        <v>14</v>
      </c>
      <c r="AH810">
        <v>3</v>
      </c>
      <c r="AI810">
        <v>6</v>
      </c>
      <c r="AJ810">
        <v>0</v>
      </c>
      <c r="AK810">
        <v>1</v>
      </c>
      <c r="AL810" t="s">
        <v>4544</v>
      </c>
      <c r="AM810" t="s">
        <v>4545</v>
      </c>
      <c r="AN810" t="s">
        <v>8714</v>
      </c>
      <c r="AO810" t="s">
        <v>8715</v>
      </c>
      <c r="AP810" t="s">
        <v>74</v>
      </c>
      <c r="AQ810" t="s">
        <v>74</v>
      </c>
      <c r="AR810" t="s">
        <v>8716</v>
      </c>
      <c r="AS810" t="s">
        <v>8717</v>
      </c>
      <c r="AT810" t="s">
        <v>10673</v>
      </c>
      <c r="AU810">
        <v>2000</v>
      </c>
      <c r="AV810">
        <v>45</v>
      </c>
      <c r="AW810">
        <v>4</v>
      </c>
      <c r="AX810" t="s">
        <v>74</v>
      </c>
      <c r="AY810" t="s">
        <v>74</v>
      </c>
      <c r="AZ810" t="s">
        <v>74</v>
      </c>
      <c r="BA810" t="s">
        <v>74</v>
      </c>
      <c r="BB810">
        <v>631</v>
      </c>
      <c r="BC810">
        <v>635</v>
      </c>
      <c r="BD810" t="s">
        <v>74</v>
      </c>
      <c r="BE810" t="s">
        <v>74</v>
      </c>
      <c r="BF810" t="s">
        <v>74</v>
      </c>
      <c r="BG810" t="s">
        <v>74</v>
      </c>
      <c r="BH810" t="s">
        <v>74</v>
      </c>
      <c r="BI810">
        <v>5</v>
      </c>
      <c r="BJ810" t="s">
        <v>8719</v>
      </c>
      <c r="BK810" t="s">
        <v>94</v>
      </c>
      <c r="BL810" t="s">
        <v>8719</v>
      </c>
      <c r="BM810" t="s">
        <v>10733</v>
      </c>
      <c r="BN810">
        <v>11040968</v>
      </c>
      <c r="BO810" t="s">
        <v>74</v>
      </c>
      <c r="BP810" t="s">
        <v>74</v>
      </c>
      <c r="BQ810" t="s">
        <v>74</v>
      </c>
      <c r="BR810" t="s">
        <v>97</v>
      </c>
      <c r="BS810" t="s">
        <v>10734</v>
      </c>
      <c r="BT810" t="str">
        <f>HYPERLINK("https%3A%2F%2Fwww.webofscience.com%2Fwos%2Fwoscc%2Ffull-record%2FWOS:000165099200006","View Full Record in Web of Science")</f>
        <v>View Full Record in Web of Science</v>
      </c>
    </row>
    <row r="811" spans="1:72" x14ac:dyDescent="0.15">
      <c r="A811" t="s">
        <v>72</v>
      </c>
      <c r="B811" t="s">
        <v>10735</v>
      </c>
      <c r="C811" t="s">
        <v>74</v>
      </c>
      <c r="D811" t="s">
        <v>74</v>
      </c>
      <c r="E811" t="s">
        <v>74</v>
      </c>
      <c r="F811" t="s">
        <v>10735</v>
      </c>
      <c r="G811" t="s">
        <v>74</v>
      </c>
      <c r="H811" t="s">
        <v>74</v>
      </c>
      <c r="I811" t="s">
        <v>10736</v>
      </c>
      <c r="J811" t="s">
        <v>10737</v>
      </c>
      <c r="K811" t="s">
        <v>74</v>
      </c>
      <c r="L811" t="s">
        <v>74</v>
      </c>
      <c r="M811" t="s">
        <v>77</v>
      </c>
      <c r="N811" t="s">
        <v>576</v>
      </c>
      <c r="O811" t="s">
        <v>10738</v>
      </c>
      <c r="P811" t="s">
        <v>10739</v>
      </c>
      <c r="Q811" t="s">
        <v>10740</v>
      </c>
      <c r="R811" t="s">
        <v>74</v>
      </c>
      <c r="S811" t="s">
        <v>74</v>
      </c>
      <c r="T811" t="s">
        <v>74</v>
      </c>
      <c r="U811" t="s">
        <v>10741</v>
      </c>
      <c r="V811" t="s">
        <v>10742</v>
      </c>
      <c r="W811" t="s">
        <v>10743</v>
      </c>
      <c r="X811" t="s">
        <v>10744</v>
      </c>
      <c r="Y811" t="s">
        <v>10745</v>
      </c>
      <c r="Z811" t="s">
        <v>74</v>
      </c>
      <c r="AA811" t="s">
        <v>10746</v>
      </c>
      <c r="AB811" t="s">
        <v>74</v>
      </c>
      <c r="AC811" t="s">
        <v>74</v>
      </c>
      <c r="AD811" t="s">
        <v>74</v>
      </c>
      <c r="AE811" t="s">
        <v>74</v>
      </c>
      <c r="AF811" t="s">
        <v>74</v>
      </c>
      <c r="AG811">
        <v>42</v>
      </c>
      <c r="AH811">
        <v>39</v>
      </c>
      <c r="AI811">
        <v>42</v>
      </c>
      <c r="AJ811">
        <v>0</v>
      </c>
      <c r="AK811">
        <v>3</v>
      </c>
      <c r="AL811" t="s">
        <v>10747</v>
      </c>
      <c r="AM811" t="s">
        <v>10748</v>
      </c>
      <c r="AN811" t="s">
        <v>10749</v>
      </c>
      <c r="AO811" t="s">
        <v>10750</v>
      </c>
      <c r="AP811" t="s">
        <v>74</v>
      </c>
      <c r="AQ811" t="s">
        <v>74</v>
      </c>
      <c r="AR811" t="s">
        <v>10751</v>
      </c>
      <c r="AS811" t="s">
        <v>10752</v>
      </c>
      <c r="AT811" t="s">
        <v>10688</v>
      </c>
      <c r="AU811">
        <v>2000</v>
      </c>
      <c r="AV811">
        <v>67</v>
      </c>
      <c r="AW811">
        <v>1</v>
      </c>
      <c r="AX811" t="s">
        <v>74</v>
      </c>
      <c r="AY811" t="s">
        <v>74</v>
      </c>
      <c r="AZ811" t="s">
        <v>74</v>
      </c>
      <c r="BA811" t="s">
        <v>74</v>
      </c>
      <c r="BB811">
        <v>175</v>
      </c>
      <c r="BC811">
        <v>188</v>
      </c>
      <c r="BD811" t="s">
        <v>74</v>
      </c>
      <c r="BE811" t="s">
        <v>74</v>
      </c>
      <c r="BF811" t="s">
        <v>74</v>
      </c>
      <c r="BG811" t="s">
        <v>74</v>
      </c>
      <c r="BH811" t="s">
        <v>74</v>
      </c>
      <c r="BI811">
        <v>14</v>
      </c>
      <c r="BJ811" t="s">
        <v>7025</v>
      </c>
      <c r="BK811" t="s">
        <v>596</v>
      </c>
      <c r="BL811" t="s">
        <v>7025</v>
      </c>
      <c r="BM811" t="s">
        <v>10753</v>
      </c>
      <c r="BN811" t="s">
        <v>74</v>
      </c>
      <c r="BO811" t="s">
        <v>74</v>
      </c>
      <c r="BP811" t="s">
        <v>74</v>
      </c>
      <c r="BQ811" t="s">
        <v>74</v>
      </c>
      <c r="BR811" t="s">
        <v>97</v>
      </c>
      <c r="BS811" t="s">
        <v>10754</v>
      </c>
      <c r="BT811" t="str">
        <f>HYPERLINK("https%3A%2F%2Fwww.webofscience.com%2Fwos%2Fwoscc%2Ffull-record%2FWOS:000165136800020","View Full Record in Web of Science")</f>
        <v>View Full Record in Web of Science</v>
      </c>
    </row>
    <row r="812" spans="1:72" x14ac:dyDescent="0.15">
      <c r="A812" t="s">
        <v>72</v>
      </c>
      <c r="B812" t="s">
        <v>10755</v>
      </c>
      <c r="C812" t="s">
        <v>74</v>
      </c>
      <c r="D812" t="s">
        <v>74</v>
      </c>
      <c r="E812" t="s">
        <v>74</v>
      </c>
      <c r="F812" t="s">
        <v>10755</v>
      </c>
      <c r="G812" t="s">
        <v>74</v>
      </c>
      <c r="H812" t="s">
        <v>74</v>
      </c>
      <c r="I812" t="s">
        <v>10756</v>
      </c>
      <c r="J812" t="s">
        <v>10757</v>
      </c>
      <c r="K812" t="s">
        <v>74</v>
      </c>
      <c r="L812" t="s">
        <v>74</v>
      </c>
      <c r="M812" t="s">
        <v>77</v>
      </c>
      <c r="N812" t="s">
        <v>78</v>
      </c>
      <c r="O812" t="s">
        <v>74</v>
      </c>
      <c r="P812" t="s">
        <v>74</v>
      </c>
      <c r="Q812" t="s">
        <v>74</v>
      </c>
      <c r="R812" t="s">
        <v>74</v>
      </c>
      <c r="S812" t="s">
        <v>74</v>
      </c>
      <c r="T812" t="s">
        <v>10758</v>
      </c>
      <c r="U812" t="s">
        <v>10759</v>
      </c>
      <c r="V812" t="s">
        <v>10760</v>
      </c>
      <c r="W812" t="s">
        <v>10761</v>
      </c>
      <c r="X812" t="s">
        <v>10762</v>
      </c>
      <c r="Y812" t="s">
        <v>10763</v>
      </c>
      <c r="Z812" t="s">
        <v>74</v>
      </c>
      <c r="AA812" t="s">
        <v>10764</v>
      </c>
      <c r="AB812" t="s">
        <v>10765</v>
      </c>
      <c r="AC812" t="s">
        <v>74</v>
      </c>
      <c r="AD812" t="s">
        <v>74</v>
      </c>
      <c r="AE812" t="s">
        <v>74</v>
      </c>
      <c r="AF812" t="s">
        <v>74</v>
      </c>
      <c r="AG812">
        <v>56</v>
      </c>
      <c r="AH812">
        <v>14</v>
      </c>
      <c r="AI812">
        <v>15</v>
      </c>
      <c r="AJ812">
        <v>1</v>
      </c>
      <c r="AK812">
        <v>7</v>
      </c>
      <c r="AL812" t="s">
        <v>10766</v>
      </c>
      <c r="AM812" t="s">
        <v>10767</v>
      </c>
      <c r="AN812" t="s">
        <v>10768</v>
      </c>
      <c r="AO812" t="s">
        <v>10769</v>
      </c>
      <c r="AP812" t="s">
        <v>74</v>
      </c>
      <c r="AQ812" t="s">
        <v>74</v>
      </c>
      <c r="AR812" t="s">
        <v>10770</v>
      </c>
      <c r="AS812" t="s">
        <v>10771</v>
      </c>
      <c r="AT812" t="s">
        <v>10688</v>
      </c>
      <c r="AU812">
        <v>2000</v>
      </c>
      <c r="AV812">
        <v>46</v>
      </c>
      <c r="AW812">
        <v>7</v>
      </c>
      <c r="AX812" t="s">
        <v>74</v>
      </c>
      <c r="AY812" t="s">
        <v>74</v>
      </c>
      <c r="AZ812" t="s">
        <v>74</v>
      </c>
      <c r="BA812" t="s">
        <v>74</v>
      </c>
      <c r="BB812">
        <v>623</v>
      </c>
      <c r="BC812">
        <v>632</v>
      </c>
      <c r="BD812" t="s">
        <v>74</v>
      </c>
      <c r="BE812" t="s">
        <v>10772</v>
      </c>
      <c r="BF812" t="str">
        <f>HYPERLINK("http://dx.doi.org/10.1139/cjm-46-7-623","http://dx.doi.org/10.1139/cjm-46-7-623")</f>
        <v>http://dx.doi.org/10.1139/cjm-46-7-623</v>
      </c>
      <c r="BG812" t="s">
        <v>74</v>
      </c>
      <c r="BH812" t="s">
        <v>74</v>
      </c>
      <c r="BI812">
        <v>10</v>
      </c>
      <c r="BJ812" t="s">
        <v>10773</v>
      </c>
      <c r="BK812" t="s">
        <v>94</v>
      </c>
      <c r="BL812" t="s">
        <v>10773</v>
      </c>
      <c r="BM812" t="s">
        <v>10774</v>
      </c>
      <c r="BN812">
        <v>10932356</v>
      </c>
      <c r="BO812" t="s">
        <v>74</v>
      </c>
      <c r="BP812" t="s">
        <v>74</v>
      </c>
      <c r="BQ812" t="s">
        <v>74</v>
      </c>
      <c r="BR812" t="s">
        <v>97</v>
      </c>
      <c r="BS812" t="s">
        <v>10775</v>
      </c>
      <c r="BT812" t="str">
        <f>HYPERLINK("https%3A%2F%2Fwww.webofscience.com%2Fwos%2Fwoscc%2Ffull-record%2FWOS:000088272400006","View Full Record in Web of Science")</f>
        <v>View Full Record in Web of Science</v>
      </c>
    </row>
    <row r="813" spans="1:72" x14ac:dyDescent="0.15">
      <c r="A813" t="s">
        <v>72</v>
      </c>
      <c r="B813" t="s">
        <v>10776</v>
      </c>
      <c r="C813" t="s">
        <v>74</v>
      </c>
      <c r="D813" t="s">
        <v>74</v>
      </c>
      <c r="E813" t="s">
        <v>74</v>
      </c>
      <c r="F813" t="s">
        <v>10776</v>
      </c>
      <c r="G813" t="s">
        <v>74</v>
      </c>
      <c r="H813" t="s">
        <v>74</v>
      </c>
      <c r="I813" t="s">
        <v>10777</v>
      </c>
      <c r="J813" t="s">
        <v>235</v>
      </c>
      <c r="K813" t="s">
        <v>74</v>
      </c>
      <c r="L813" t="s">
        <v>74</v>
      </c>
      <c r="M813" t="s">
        <v>77</v>
      </c>
      <c r="N813" t="s">
        <v>78</v>
      </c>
      <c r="O813" t="s">
        <v>74</v>
      </c>
      <c r="P813" t="s">
        <v>74</v>
      </c>
      <c r="Q813" t="s">
        <v>74</v>
      </c>
      <c r="R813" t="s">
        <v>74</v>
      </c>
      <c r="S813" t="s">
        <v>74</v>
      </c>
      <c r="T813" t="s">
        <v>10778</v>
      </c>
      <c r="U813" t="s">
        <v>10779</v>
      </c>
      <c r="V813" t="s">
        <v>10780</v>
      </c>
      <c r="W813" t="s">
        <v>3175</v>
      </c>
      <c r="X813" t="s">
        <v>1250</v>
      </c>
      <c r="Y813" t="s">
        <v>10781</v>
      </c>
      <c r="Z813" t="s">
        <v>74</v>
      </c>
      <c r="AA813" t="s">
        <v>10782</v>
      </c>
      <c r="AB813" t="s">
        <v>74</v>
      </c>
      <c r="AC813" t="s">
        <v>74</v>
      </c>
      <c r="AD813" t="s">
        <v>74</v>
      </c>
      <c r="AE813" t="s">
        <v>74</v>
      </c>
      <c r="AF813" t="s">
        <v>74</v>
      </c>
      <c r="AG813">
        <v>56</v>
      </c>
      <c r="AH813">
        <v>22</v>
      </c>
      <c r="AI813">
        <v>22</v>
      </c>
      <c r="AJ813">
        <v>0</v>
      </c>
      <c r="AK813">
        <v>7</v>
      </c>
      <c r="AL813" t="s">
        <v>245</v>
      </c>
      <c r="AM813" t="s">
        <v>246</v>
      </c>
      <c r="AN813" t="s">
        <v>247</v>
      </c>
      <c r="AO813" t="s">
        <v>248</v>
      </c>
      <c r="AP813" t="s">
        <v>74</v>
      </c>
      <c r="AQ813" t="s">
        <v>74</v>
      </c>
      <c r="AR813" t="s">
        <v>249</v>
      </c>
      <c r="AS813" t="s">
        <v>250</v>
      </c>
      <c r="AT813" t="s">
        <v>10688</v>
      </c>
      <c r="AU813">
        <v>2000</v>
      </c>
      <c r="AV813">
        <v>47</v>
      </c>
      <c r="AW813">
        <v>7</v>
      </c>
      <c r="AX813" t="s">
        <v>74</v>
      </c>
      <c r="AY813" t="s">
        <v>74</v>
      </c>
      <c r="AZ813" t="s">
        <v>74</v>
      </c>
      <c r="BA813" t="s">
        <v>74</v>
      </c>
      <c r="BB813">
        <v>1369</v>
      </c>
      <c r="BC813">
        <v>1387</v>
      </c>
      <c r="BD813" t="s">
        <v>74</v>
      </c>
      <c r="BE813" t="s">
        <v>10783</v>
      </c>
      <c r="BF813" t="str">
        <f>HYPERLINK("http://dx.doi.org/10.1016/S0967-0637(99)00094-1","http://dx.doi.org/10.1016/S0967-0637(99)00094-1")</f>
        <v>http://dx.doi.org/10.1016/S0967-0637(99)00094-1</v>
      </c>
      <c r="BG813" t="s">
        <v>74</v>
      </c>
      <c r="BH813" t="s">
        <v>74</v>
      </c>
      <c r="BI813">
        <v>19</v>
      </c>
      <c r="BJ813" t="s">
        <v>252</v>
      </c>
      <c r="BK813" t="s">
        <v>94</v>
      </c>
      <c r="BL813" t="s">
        <v>252</v>
      </c>
      <c r="BM813" t="s">
        <v>10784</v>
      </c>
      <c r="BN813" t="s">
        <v>74</v>
      </c>
      <c r="BO813" t="s">
        <v>74</v>
      </c>
      <c r="BP813" t="s">
        <v>74</v>
      </c>
      <c r="BQ813" t="s">
        <v>74</v>
      </c>
      <c r="BR813" t="s">
        <v>97</v>
      </c>
      <c r="BS813" t="s">
        <v>10785</v>
      </c>
      <c r="BT813" t="str">
        <f>HYPERLINK("https%3A%2F%2Fwww.webofscience.com%2Fwos%2Fwoscc%2Ffull-record%2FWOS:000086975800009","View Full Record in Web of Science")</f>
        <v>View Full Record in Web of Science</v>
      </c>
    </row>
    <row r="814" spans="1:72" x14ac:dyDescent="0.15">
      <c r="A814" t="s">
        <v>72</v>
      </c>
      <c r="B814" t="s">
        <v>10786</v>
      </c>
      <c r="C814" t="s">
        <v>74</v>
      </c>
      <c r="D814" t="s">
        <v>74</v>
      </c>
      <c r="E814" t="s">
        <v>74</v>
      </c>
      <c r="F814" t="s">
        <v>10786</v>
      </c>
      <c r="G814" t="s">
        <v>74</v>
      </c>
      <c r="H814" t="s">
        <v>74</v>
      </c>
      <c r="I814" t="s">
        <v>10787</v>
      </c>
      <c r="J814" t="s">
        <v>10788</v>
      </c>
      <c r="K814" t="s">
        <v>74</v>
      </c>
      <c r="L814" t="s">
        <v>74</v>
      </c>
      <c r="M814" t="s">
        <v>77</v>
      </c>
      <c r="N814" t="s">
        <v>78</v>
      </c>
      <c r="O814" t="s">
        <v>74</v>
      </c>
      <c r="P814" t="s">
        <v>74</v>
      </c>
      <c r="Q814" t="s">
        <v>74</v>
      </c>
      <c r="R814" t="s">
        <v>74</v>
      </c>
      <c r="S814" t="s">
        <v>74</v>
      </c>
      <c r="T814" t="s">
        <v>74</v>
      </c>
      <c r="U814" t="s">
        <v>74</v>
      </c>
      <c r="V814" t="s">
        <v>74</v>
      </c>
      <c r="W814" t="s">
        <v>10789</v>
      </c>
      <c r="X814" t="s">
        <v>2468</v>
      </c>
      <c r="Y814" t="s">
        <v>10790</v>
      </c>
      <c r="Z814" t="s">
        <v>74</v>
      </c>
      <c r="AA814" t="s">
        <v>74</v>
      </c>
      <c r="AB814" t="s">
        <v>74</v>
      </c>
      <c r="AC814" t="s">
        <v>74</v>
      </c>
      <c r="AD814" t="s">
        <v>74</v>
      </c>
      <c r="AE814" t="s">
        <v>74</v>
      </c>
      <c r="AF814" t="s">
        <v>74</v>
      </c>
      <c r="AG814">
        <v>7</v>
      </c>
      <c r="AH814">
        <v>0</v>
      </c>
      <c r="AI814">
        <v>0</v>
      </c>
      <c r="AJ814">
        <v>0</v>
      </c>
      <c r="AK814">
        <v>0</v>
      </c>
      <c r="AL814" t="s">
        <v>1025</v>
      </c>
      <c r="AM814" t="s">
        <v>1026</v>
      </c>
      <c r="AN814" t="s">
        <v>1027</v>
      </c>
      <c r="AO814" t="s">
        <v>10791</v>
      </c>
      <c r="AP814" t="s">
        <v>74</v>
      </c>
      <c r="AQ814" t="s">
        <v>74</v>
      </c>
      <c r="AR814" t="s">
        <v>10792</v>
      </c>
      <c r="AS814" t="s">
        <v>10793</v>
      </c>
      <c r="AT814" t="s">
        <v>10673</v>
      </c>
      <c r="AU814">
        <v>2000</v>
      </c>
      <c r="AV814" t="s">
        <v>10794</v>
      </c>
      <c r="AW814">
        <v>6</v>
      </c>
      <c r="AX814" t="s">
        <v>74</v>
      </c>
      <c r="AY814" t="s">
        <v>74</v>
      </c>
      <c r="AZ814" t="s">
        <v>74</v>
      </c>
      <c r="BA814" t="s">
        <v>74</v>
      </c>
      <c r="BB814">
        <v>983</v>
      </c>
      <c r="BC814">
        <v>986</v>
      </c>
      <c r="BD814" t="s">
        <v>74</v>
      </c>
      <c r="BE814" t="s">
        <v>74</v>
      </c>
      <c r="BF814" t="s">
        <v>74</v>
      </c>
      <c r="BG814" t="s">
        <v>74</v>
      </c>
      <c r="BH814" t="s">
        <v>74</v>
      </c>
      <c r="BI814">
        <v>4</v>
      </c>
      <c r="BJ814" t="s">
        <v>595</v>
      </c>
      <c r="BK814" t="s">
        <v>94</v>
      </c>
      <c r="BL814" t="s">
        <v>597</v>
      </c>
      <c r="BM814" t="s">
        <v>10795</v>
      </c>
      <c r="BN814" t="s">
        <v>74</v>
      </c>
      <c r="BO814" t="s">
        <v>74</v>
      </c>
      <c r="BP814" t="s">
        <v>74</v>
      </c>
      <c r="BQ814" t="s">
        <v>74</v>
      </c>
      <c r="BR814" t="s">
        <v>97</v>
      </c>
      <c r="BS814" t="s">
        <v>10796</v>
      </c>
      <c r="BT814" t="str">
        <f>HYPERLINK("https%3A%2F%2Fwww.webofscience.com%2Fwos%2Fwoscc%2Ffull-record%2FWOS:000089521600017","View Full Record in Web of Science")</f>
        <v>View Full Record in Web of Science</v>
      </c>
    </row>
    <row r="815" spans="1:72" x14ac:dyDescent="0.15">
      <c r="A815" t="s">
        <v>72</v>
      </c>
      <c r="B815" t="s">
        <v>10797</v>
      </c>
      <c r="C815" t="s">
        <v>74</v>
      </c>
      <c r="D815" t="s">
        <v>74</v>
      </c>
      <c r="E815" t="s">
        <v>74</v>
      </c>
      <c r="F815" t="s">
        <v>10797</v>
      </c>
      <c r="G815" t="s">
        <v>74</v>
      </c>
      <c r="H815" t="s">
        <v>74</v>
      </c>
      <c r="I815" t="s">
        <v>10798</v>
      </c>
      <c r="J815" t="s">
        <v>10799</v>
      </c>
      <c r="K815" t="s">
        <v>74</v>
      </c>
      <c r="L815" t="s">
        <v>74</v>
      </c>
      <c r="M815" t="s">
        <v>77</v>
      </c>
      <c r="N815" t="s">
        <v>78</v>
      </c>
      <c r="O815" t="s">
        <v>74</v>
      </c>
      <c r="P815" t="s">
        <v>74</v>
      </c>
      <c r="Q815" t="s">
        <v>74</v>
      </c>
      <c r="R815" t="s">
        <v>74</v>
      </c>
      <c r="S815" t="s">
        <v>74</v>
      </c>
      <c r="T815" t="s">
        <v>10800</v>
      </c>
      <c r="U815" t="s">
        <v>10801</v>
      </c>
      <c r="V815" t="s">
        <v>10802</v>
      </c>
      <c r="W815" t="s">
        <v>10803</v>
      </c>
      <c r="X815" t="s">
        <v>10804</v>
      </c>
      <c r="Y815" t="s">
        <v>10805</v>
      </c>
      <c r="Z815" t="s">
        <v>10806</v>
      </c>
      <c r="AA815" t="s">
        <v>10807</v>
      </c>
      <c r="AB815" t="s">
        <v>10808</v>
      </c>
      <c r="AC815" t="s">
        <v>74</v>
      </c>
      <c r="AD815" t="s">
        <v>74</v>
      </c>
      <c r="AE815" t="s">
        <v>74</v>
      </c>
      <c r="AF815" t="s">
        <v>74</v>
      </c>
      <c r="AG815">
        <v>61</v>
      </c>
      <c r="AH815">
        <v>53</v>
      </c>
      <c r="AI815">
        <v>56</v>
      </c>
      <c r="AJ815">
        <v>0</v>
      </c>
      <c r="AK815">
        <v>3</v>
      </c>
      <c r="AL815" t="s">
        <v>4286</v>
      </c>
      <c r="AM815" t="s">
        <v>160</v>
      </c>
      <c r="AN815" t="s">
        <v>6615</v>
      </c>
      <c r="AO815" t="s">
        <v>10809</v>
      </c>
      <c r="AP815" t="s">
        <v>10810</v>
      </c>
      <c r="AQ815" t="s">
        <v>74</v>
      </c>
      <c r="AR815" t="s">
        <v>10811</v>
      </c>
      <c r="AS815" t="s">
        <v>10812</v>
      </c>
      <c r="AT815" t="s">
        <v>10688</v>
      </c>
      <c r="AU815">
        <v>2000</v>
      </c>
      <c r="AV815">
        <v>27</v>
      </c>
      <c r="AW815" t="s">
        <v>870</v>
      </c>
      <c r="AX815" t="s">
        <v>74</v>
      </c>
      <c r="AY815" t="s">
        <v>74</v>
      </c>
      <c r="AZ815" t="s">
        <v>74</v>
      </c>
      <c r="BA815" t="s">
        <v>74</v>
      </c>
      <c r="BB815">
        <v>66</v>
      </c>
      <c r="BC815">
        <v>73</v>
      </c>
      <c r="BD815" t="s">
        <v>74</v>
      </c>
      <c r="BE815" t="s">
        <v>10813</v>
      </c>
      <c r="BF815" t="str">
        <f>HYPERLINK("http://dx.doi.org/10.1016/S0141-0229(00)00152-6","http://dx.doi.org/10.1016/S0141-0229(00)00152-6")</f>
        <v>http://dx.doi.org/10.1016/S0141-0229(00)00152-6</v>
      </c>
      <c r="BG815" t="s">
        <v>74</v>
      </c>
      <c r="BH815" t="s">
        <v>74</v>
      </c>
      <c r="BI815">
        <v>8</v>
      </c>
      <c r="BJ815" t="s">
        <v>10814</v>
      </c>
      <c r="BK815" t="s">
        <v>94</v>
      </c>
      <c r="BL815" t="s">
        <v>10814</v>
      </c>
      <c r="BM815" t="s">
        <v>10815</v>
      </c>
      <c r="BN815">
        <v>10862903</v>
      </c>
      <c r="BO815" t="s">
        <v>74</v>
      </c>
      <c r="BP815" t="s">
        <v>74</v>
      </c>
      <c r="BQ815" t="s">
        <v>74</v>
      </c>
      <c r="BR815" t="s">
        <v>97</v>
      </c>
      <c r="BS815" t="s">
        <v>10816</v>
      </c>
      <c r="BT815" t="str">
        <f>HYPERLINK("https%3A%2F%2Fwww.webofscience.com%2Fwos%2Fwoscc%2Ffull-record%2FWOS:000087880300009","View Full Record in Web of Science")</f>
        <v>View Full Record in Web of Science</v>
      </c>
    </row>
    <row r="816" spans="1:72" x14ac:dyDescent="0.15">
      <c r="A816" t="s">
        <v>72</v>
      </c>
      <c r="B816" t="s">
        <v>10817</v>
      </c>
      <c r="C816" t="s">
        <v>74</v>
      </c>
      <c r="D816" t="s">
        <v>74</v>
      </c>
      <c r="E816" t="s">
        <v>74</v>
      </c>
      <c r="F816" t="s">
        <v>10817</v>
      </c>
      <c r="G816" t="s">
        <v>74</v>
      </c>
      <c r="H816" t="s">
        <v>74</v>
      </c>
      <c r="I816" t="s">
        <v>10818</v>
      </c>
      <c r="J816" t="s">
        <v>10819</v>
      </c>
      <c r="K816" t="s">
        <v>74</v>
      </c>
      <c r="L816" t="s">
        <v>74</v>
      </c>
      <c r="M816" t="s">
        <v>77</v>
      </c>
      <c r="N816" t="s">
        <v>236</v>
      </c>
      <c r="O816" t="s">
        <v>74</v>
      </c>
      <c r="P816" t="s">
        <v>74</v>
      </c>
      <c r="Q816" t="s">
        <v>74</v>
      </c>
      <c r="R816" t="s">
        <v>74</v>
      </c>
      <c r="S816" t="s">
        <v>74</v>
      </c>
      <c r="T816" t="s">
        <v>10820</v>
      </c>
      <c r="U816" t="s">
        <v>10821</v>
      </c>
      <c r="V816" t="s">
        <v>10822</v>
      </c>
      <c r="W816" t="s">
        <v>10823</v>
      </c>
      <c r="X816" t="s">
        <v>2050</v>
      </c>
      <c r="Y816" t="s">
        <v>10824</v>
      </c>
      <c r="Z816" t="s">
        <v>74</v>
      </c>
      <c r="AA816" t="s">
        <v>10825</v>
      </c>
      <c r="AB816" t="s">
        <v>10826</v>
      </c>
      <c r="AC816" t="s">
        <v>74</v>
      </c>
      <c r="AD816" t="s">
        <v>74</v>
      </c>
      <c r="AE816" t="s">
        <v>74</v>
      </c>
      <c r="AF816" t="s">
        <v>74</v>
      </c>
      <c r="AG816">
        <v>128</v>
      </c>
      <c r="AH816">
        <v>52</v>
      </c>
      <c r="AI816">
        <v>62</v>
      </c>
      <c r="AJ816">
        <v>1</v>
      </c>
      <c r="AK816">
        <v>22</v>
      </c>
      <c r="AL816" t="s">
        <v>1120</v>
      </c>
      <c r="AM816" t="s">
        <v>1121</v>
      </c>
      <c r="AN816" t="s">
        <v>2394</v>
      </c>
      <c r="AO816" t="s">
        <v>10827</v>
      </c>
      <c r="AP816" t="s">
        <v>74</v>
      </c>
      <c r="AQ816" t="s">
        <v>74</v>
      </c>
      <c r="AR816" t="s">
        <v>10828</v>
      </c>
      <c r="AS816" t="s">
        <v>10829</v>
      </c>
      <c r="AT816" t="s">
        <v>10688</v>
      </c>
      <c r="AU816">
        <v>2000</v>
      </c>
      <c r="AV816">
        <v>47</v>
      </c>
      <c r="AW816" t="s">
        <v>165</v>
      </c>
      <c r="AX816" t="s">
        <v>74</v>
      </c>
      <c r="AY816" t="s">
        <v>74</v>
      </c>
      <c r="AZ816" t="s">
        <v>74</v>
      </c>
      <c r="BA816" t="s">
        <v>74</v>
      </c>
      <c r="BB816">
        <v>215</v>
      </c>
      <c r="BC816">
        <v>229</v>
      </c>
      <c r="BD816" t="s">
        <v>74</v>
      </c>
      <c r="BE816" t="s">
        <v>10830</v>
      </c>
      <c r="BF816" t="str">
        <f>HYPERLINK("http://dx.doi.org/10.1016/S0165-7836(00)00171-5","http://dx.doi.org/10.1016/S0165-7836(00)00171-5")</f>
        <v>http://dx.doi.org/10.1016/S0165-7836(00)00171-5</v>
      </c>
      <c r="BG816" t="s">
        <v>74</v>
      </c>
      <c r="BH816" t="s">
        <v>74</v>
      </c>
      <c r="BI816">
        <v>15</v>
      </c>
      <c r="BJ816" t="s">
        <v>3507</v>
      </c>
      <c r="BK816" t="s">
        <v>94</v>
      </c>
      <c r="BL816" t="s">
        <v>3507</v>
      </c>
      <c r="BM816" t="s">
        <v>10831</v>
      </c>
      <c r="BN816" t="s">
        <v>74</v>
      </c>
      <c r="BO816" t="s">
        <v>74</v>
      </c>
      <c r="BP816" t="s">
        <v>74</v>
      </c>
      <c r="BQ816" t="s">
        <v>74</v>
      </c>
      <c r="BR816" t="s">
        <v>97</v>
      </c>
      <c r="BS816" t="s">
        <v>10832</v>
      </c>
      <c r="BT816" t="str">
        <f>HYPERLINK("https%3A%2F%2Fwww.webofscience.com%2Fwos%2Fwoscc%2Ffull-record%2FWOS:000087658500011","View Full Record in Web of Science")</f>
        <v>View Full Record in Web of Science</v>
      </c>
    </row>
    <row r="817" spans="1:72" x14ac:dyDescent="0.15">
      <c r="A817" t="s">
        <v>72</v>
      </c>
      <c r="B817" t="s">
        <v>10833</v>
      </c>
      <c r="C817" t="s">
        <v>74</v>
      </c>
      <c r="D817" t="s">
        <v>74</v>
      </c>
      <c r="E817" t="s">
        <v>74</v>
      </c>
      <c r="F817" t="s">
        <v>10833</v>
      </c>
      <c r="G817" t="s">
        <v>74</v>
      </c>
      <c r="H817" t="s">
        <v>74</v>
      </c>
      <c r="I817" t="s">
        <v>10834</v>
      </c>
      <c r="J817" t="s">
        <v>975</v>
      </c>
      <c r="K817" t="s">
        <v>74</v>
      </c>
      <c r="L817" t="s">
        <v>74</v>
      </c>
      <c r="M817" t="s">
        <v>77</v>
      </c>
      <c r="N817" t="s">
        <v>78</v>
      </c>
      <c r="O817" t="s">
        <v>74</v>
      </c>
      <c r="P817" t="s">
        <v>74</v>
      </c>
      <c r="Q817" t="s">
        <v>74</v>
      </c>
      <c r="R817" t="s">
        <v>74</v>
      </c>
      <c r="S817" t="s">
        <v>74</v>
      </c>
      <c r="T817" t="s">
        <v>10835</v>
      </c>
      <c r="U817" t="s">
        <v>10836</v>
      </c>
      <c r="V817" t="s">
        <v>10837</v>
      </c>
      <c r="W817" t="s">
        <v>10838</v>
      </c>
      <c r="X817" t="s">
        <v>10839</v>
      </c>
      <c r="Y817" t="s">
        <v>10840</v>
      </c>
      <c r="Z817" t="s">
        <v>74</v>
      </c>
      <c r="AA817" t="s">
        <v>10841</v>
      </c>
      <c r="AB817" t="s">
        <v>10842</v>
      </c>
      <c r="AC817" t="s">
        <v>74</v>
      </c>
      <c r="AD817" t="s">
        <v>74</v>
      </c>
      <c r="AE817" t="s">
        <v>74</v>
      </c>
      <c r="AF817" t="s">
        <v>74</v>
      </c>
      <c r="AG817">
        <v>23</v>
      </c>
      <c r="AH817">
        <v>104</v>
      </c>
      <c r="AI817">
        <v>107</v>
      </c>
      <c r="AJ817">
        <v>0</v>
      </c>
      <c r="AK817">
        <v>11</v>
      </c>
      <c r="AL817" t="s">
        <v>981</v>
      </c>
      <c r="AM817" t="s">
        <v>982</v>
      </c>
      <c r="AN817" t="s">
        <v>983</v>
      </c>
      <c r="AO817" t="s">
        <v>984</v>
      </c>
      <c r="AP817" t="s">
        <v>74</v>
      </c>
      <c r="AQ817" t="s">
        <v>74</v>
      </c>
      <c r="AR817" t="s">
        <v>975</v>
      </c>
      <c r="AS817" t="s">
        <v>597</v>
      </c>
      <c r="AT817" t="s">
        <v>10688</v>
      </c>
      <c r="AU817">
        <v>2000</v>
      </c>
      <c r="AV817">
        <v>28</v>
      </c>
      <c r="AW817">
        <v>7</v>
      </c>
      <c r="AX817" t="s">
        <v>74</v>
      </c>
      <c r="AY817" t="s">
        <v>74</v>
      </c>
      <c r="AZ817" t="s">
        <v>74</v>
      </c>
      <c r="BA817" t="s">
        <v>74</v>
      </c>
      <c r="BB817">
        <v>607</v>
      </c>
      <c r="BC817">
        <v>610</v>
      </c>
      <c r="BD817" t="s">
        <v>74</v>
      </c>
      <c r="BE817" t="s">
        <v>10843</v>
      </c>
      <c r="BF817" t="str">
        <f>HYPERLINK("http://dx.doi.org/10.1130/0091-7613(2000)28&lt;607:AOADSC&gt;2.0.CO;2","http://dx.doi.org/10.1130/0091-7613(2000)28&lt;607:AOADSC&gt;2.0.CO;2")</f>
        <v>http://dx.doi.org/10.1130/0091-7613(2000)28&lt;607:AOADSC&gt;2.0.CO;2</v>
      </c>
      <c r="BG817" t="s">
        <v>74</v>
      </c>
      <c r="BH817" t="s">
        <v>74</v>
      </c>
      <c r="BI817">
        <v>4</v>
      </c>
      <c r="BJ817" t="s">
        <v>597</v>
      </c>
      <c r="BK817" t="s">
        <v>94</v>
      </c>
      <c r="BL817" t="s">
        <v>597</v>
      </c>
      <c r="BM817" t="s">
        <v>10844</v>
      </c>
      <c r="BN817" t="s">
        <v>74</v>
      </c>
      <c r="BO817" t="s">
        <v>296</v>
      </c>
      <c r="BP817" t="s">
        <v>74</v>
      </c>
      <c r="BQ817" t="s">
        <v>74</v>
      </c>
      <c r="BR817" t="s">
        <v>97</v>
      </c>
      <c r="BS817" t="s">
        <v>10845</v>
      </c>
      <c r="BT817" t="str">
        <f>HYPERLINK("https%3A%2F%2Fwww.webofscience.com%2Fwos%2Fwoscc%2Ffull-record%2FWOS:000087822200008","View Full Record in Web of Science")</f>
        <v>View Full Record in Web of Science</v>
      </c>
    </row>
    <row r="818" spans="1:72" x14ac:dyDescent="0.15">
      <c r="A818" t="s">
        <v>72</v>
      </c>
      <c r="B818" t="s">
        <v>10846</v>
      </c>
      <c r="C818" t="s">
        <v>74</v>
      </c>
      <c r="D818" t="s">
        <v>74</v>
      </c>
      <c r="E818" t="s">
        <v>74</v>
      </c>
      <c r="F818" t="s">
        <v>10846</v>
      </c>
      <c r="G818" t="s">
        <v>74</v>
      </c>
      <c r="H818" t="s">
        <v>74</v>
      </c>
      <c r="I818" t="s">
        <v>10847</v>
      </c>
      <c r="J818" t="s">
        <v>975</v>
      </c>
      <c r="K818" t="s">
        <v>74</v>
      </c>
      <c r="L818" t="s">
        <v>74</v>
      </c>
      <c r="M818" t="s">
        <v>77</v>
      </c>
      <c r="N818" t="s">
        <v>78</v>
      </c>
      <c r="O818" t="s">
        <v>74</v>
      </c>
      <c r="P818" t="s">
        <v>74</v>
      </c>
      <c r="Q818" t="s">
        <v>74</v>
      </c>
      <c r="R818" t="s">
        <v>74</v>
      </c>
      <c r="S818" t="s">
        <v>74</v>
      </c>
      <c r="T818" t="s">
        <v>10848</v>
      </c>
      <c r="U818" t="s">
        <v>10849</v>
      </c>
      <c r="V818" t="s">
        <v>10850</v>
      </c>
      <c r="W818" t="s">
        <v>10851</v>
      </c>
      <c r="X818" t="s">
        <v>327</v>
      </c>
      <c r="Y818" t="s">
        <v>10852</v>
      </c>
      <c r="Z818" t="s">
        <v>74</v>
      </c>
      <c r="AA818" t="s">
        <v>74</v>
      </c>
      <c r="AB818" t="s">
        <v>10853</v>
      </c>
      <c r="AC818" t="s">
        <v>74</v>
      </c>
      <c r="AD818" t="s">
        <v>74</v>
      </c>
      <c r="AE818" t="s">
        <v>74</v>
      </c>
      <c r="AF818" t="s">
        <v>74</v>
      </c>
      <c r="AG818">
        <v>44</v>
      </c>
      <c r="AH818">
        <v>31</v>
      </c>
      <c r="AI818">
        <v>33</v>
      </c>
      <c r="AJ818">
        <v>0</v>
      </c>
      <c r="AK818">
        <v>11</v>
      </c>
      <c r="AL818" t="s">
        <v>981</v>
      </c>
      <c r="AM818" t="s">
        <v>982</v>
      </c>
      <c r="AN818" t="s">
        <v>983</v>
      </c>
      <c r="AO818" t="s">
        <v>984</v>
      </c>
      <c r="AP818" t="s">
        <v>74</v>
      </c>
      <c r="AQ818" t="s">
        <v>74</v>
      </c>
      <c r="AR818" t="s">
        <v>975</v>
      </c>
      <c r="AS818" t="s">
        <v>597</v>
      </c>
      <c r="AT818" t="s">
        <v>10688</v>
      </c>
      <c r="AU818">
        <v>2000</v>
      </c>
      <c r="AV818">
        <v>28</v>
      </c>
      <c r="AW818">
        <v>7</v>
      </c>
      <c r="AX818" t="s">
        <v>74</v>
      </c>
      <c r="AY818" t="s">
        <v>74</v>
      </c>
      <c r="AZ818" t="s">
        <v>74</v>
      </c>
      <c r="BA818" t="s">
        <v>74</v>
      </c>
      <c r="BB818">
        <v>659</v>
      </c>
      <c r="BC818">
        <v>662</v>
      </c>
      <c r="BD818" t="s">
        <v>74</v>
      </c>
      <c r="BE818" t="s">
        <v>10854</v>
      </c>
      <c r="BF818" t="str">
        <f>HYPERLINK("http://dx.doi.org/10.1130/0091-7613(2000)028&lt;0659:MPSSTC&gt;2.3.CO;2","http://dx.doi.org/10.1130/0091-7613(2000)028&lt;0659:MPSSTC&gt;2.3.CO;2")</f>
        <v>http://dx.doi.org/10.1130/0091-7613(2000)028&lt;0659:MPSSTC&gt;2.3.CO;2</v>
      </c>
      <c r="BG818" t="s">
        <v>74</v>
      </c>
      <c r="BH818" t="s">
        <v>74</v>
      </c>
      <c r="BI818">
        <v>4</v>
      </c>
      <c r="BJ818" t="s">
        <v>597</v>
      </c>
      <c r="BK818" t="s">
        <v>94</v>
      </c>
      <c r="BL818" t="s">
        <v>597</v>
      </c>
      <c r="BM818" t="s">
        <v>10844</v>
      </c>
      <c r="BN818" t="s">
        <v>74</v>
      </c>
      <c r="BO818" t="s">
        <v>74</v>
      </c>
      <c r="BP818" t="s">
        <v>74</v>
      </c>
      <c r="BQ818" t="s">
        <v>74</v>
      </c>
      <c r="BR818" t="s">
        <v>97</v>
      </c>
      <c r="BS818" t="s">
        <v>10855</v>
      </c>
      <c r="BT818" t="str">
        <f>HYPERLINK("https%3A%2F%2Fwww.webofscience.com%2Fwos%2Fwoscc%2Ffull-record%2FWOS:000087822200021","View Full Record in Web of Science")</f>
        <v>View Full Record in Web of Science</v>
      </c>
    </row>
    <row r="819" spans="1:72" x14ac:dyDescent="0.15">
      <c r="A819" t="s">
        <v>72</v>
      </c>
      <c r="B819" t="s">
        <v>10856</v>
      </c>
      <c r="C819" t="s">
        <v>74</v>
      </c>
      <c r="D819" t="s">
        <v>74</v>
      </c>
      <c r="E819" t="s">
        <v>74</v>
      </c>
      <c r="F819" t="s">
        <v>10856</v>
      </c>
      <c r="G819" t="s">
        <v>74</v>
      </c>
      <c r="H819" t="s">
        <v>74</v>
      </c>
      <c r="I819" t="s">
        <v>10857</v>
      </c>
      <c r="J819" t="s">
        <v>1053</v>
      </c>
      <c r="K819" t="s">
        <v>74</v>
      </c>
      <c r="L819" t="s">
        <v>74</v>
      </c>
      <c r="M819" t="s">
        <v>77</v>
      </c>
      <c r="N819" t="s">
        <v>78</v>
      </c>
      <c r="O819" t="s">
        <v>74</v>
      </c>
      <c r="P819" t="s">
        <v>74</v>
      </c>
      <c r="Q819" t="s">
        <v>74</v>
      </c>
      <c r="R819" t="s">
        <v>74</v>
      </c>
      <c r="S819" t="s">
        <v>74</v>
      </c>
      <c r="T819" t="s">
        <v>74</v>
      </c>
      <c r="U819" t="s">
        <v>10858</v>
      </c>
      <c r="V819" t="s">
        <v>10859</v>
      </c>
      <c r="W819" t="s">
        <v>10860</v>
      </c>
      <c r="X819" t="s">
        <v>10861</v>
      </c>
      <c r="Y819" t="s">
        <v>10862</v>
      </c>
      <c r="Z819" t="s">
        <v>74</v>
      </c>
      <c r="AA819" t="s">
        <v>10863</v>
      </c>
      <c r="AB819" t="s">
        <v>74</v>
      </c>
      <c r="AC819" t="s">
        <v>74</v>
      </c>
      <c r="AD819" t="s">
        <v>74</v>
      </c>
      <c r="AE819" t="s">
        <v>74</v>
      </c>
      <c r="AF819" t="s">
        <v>74</v>
      </c>
      <c r="AG819">
        <v>24</v>
      </c>
      <c r="AH819">
        <v>47</v>
      </c>
      <c r="AI819">
        <v>55</v>
      </c>
      <c r="AJ819">
        <v>0</v>
      </c>
      <c r="AK819">
        <v>8</v>
      </c>
      <c r="AL819" t="s">
        <v>1059</v>
      </c>
      <c r="AM819" t="s">
        <v>1060</v>
      </c>
      <c r="AN819" t="s">
        <v>1061</v>
      </c>
      <c r="AO819" t="s">
        <v>1062</v>
      </c>
      <c r="AP819" t="s">
        <v>74</v>
      </c>
      <c r="AQ819" t="s">
        <v>74</v>
      </c>
      <c r="AR819" t="s">
        <v>1063</v>
      </c>
      <c r="AS819" t="s">
        <v>1064</v>
      </c>
      <c r="AT819" t="s">
        <v>10864</v>
      </c>
      <c r="AU819">
        <v>2000</v>
      </c>
      <c r="AV819">
        <v>27</v>
      </c>
      <c r="AW819">
        <v>13</v>
      </c>
      <c r="AX819" t="s">
        <v>74</v>
      </c>
      <c r="AY819" t="s">
        <v>74</v>
      </c>
      <c r="AZ819" t="s">
        <v>74</v>
      </c>
      <c r="BA819" t="s">
        <v>74</v>
      </c>
      <c r="BB819">
        <v>1911</v>
      </c>
      <c r="BC819">
        <v>1914</v>
      </c>
      <c r="BD819" t="s">
        <v>74</v>
      </c>
      <c r="BE819" t="s">
        <v>10865</v>
      </c>
      <c r="BF819" t="str">
        <f>HYPERLINK("http://dx.doi.org/10.1029/1999GL011039","http://dx.doi.org/10.1029/1999GL011039")</f>
        <v>http://dx.doi.org/10.1029/1999GL011039</v>
      </c>
      <c r="BG819" t="s">
        <v>74</v>
      </c>
      <c r="BH819" t="s">
        <v>74</v>
      </c>
      <c r="BI819">
        <v>4</v>
      </c>
      <c r="BJ819" t="s">
        <v>595</v>
      </c>
      <c r="BK819" t="s">
        <v>94</v>
      </c>
      <c r="BL819" t="s">
        <v>597</v>
      </c>
      <c r="BM819" t="s">
        <v>10866</v>
      </c>
      <c r="BN819" t="s">
        <v>74</v>
      </c>
      <c r="BO819" t="s">
        <v>74</v>
      </c>
      <c r="BP819" t="s">
        <v>74</v>
      </c>
      <c r="BQ819" t="s">
        <v>74</v>
      </c>
      <c r="BR819" t="s">
        <v>97</v>
      </c>
      <c r="BS819" t="s">
        <v>10867</v>
      </c>
      <c r="BT819" t="str">
        <f>HYPERLINK("https%3A%2F%2Fwww.webofscience.com%2Fwos%2Fwoscc%2Ffull-record%2FWOS:000088021600028","View Full Record in Web of Science")</f>
        <v>View Full Record in Web of Science</v>
      </c>
    </row>
    <row r="820" spans="1:72" x14ac:dyDescent="0.15">
      <c r="A820" t="s">
        <v>72</v>
      </c>
      <c r="B820" t="s">
        <v>10868</v>
      </c>
      <c r="C820" t="s">
        <v>74</v>
      </c>
      <c r="D820" t="s">
        <v>74</v>
      </c>
      <c r="E820" t="s">
        <v>74</v>
      </c>
      <c r="F820" t="s">
        <v>10868</v>
      </c>
      <c r="G820" t="s">
        <v>74</v>
      </c>
      <c r="H820" t="s">
        <v>74</v>
      </c>
      <c r="I820" t="s">
        <v>10869</v>
      </c>
      <c r="J820" t="s">
        <v>1053</v>
      </c>
      <c r="K820" t="s">
        <v>74</v>
      </c>
      <c r="L820" t="s">
        <v>74</v>
      </c>
      <c r="M820" t="s">
        <v>77</v>
      </c>
      <c r="N820" t="s">
        <v>78</v>
      </c>
      <c r="O820" t="s">
        <v>74</v>
      </c>
      <c r="P820" t="s">
        <v>74</v>
      </c>
      <c r="Q820" t="s">
        <v>74</v>
      </c>
      <c r="R820" t="s">
        <v>74</v>
      </c>
      <c r="S820" t="s">
        <v>74</v>
      </c>
      <c r="T820" t="s">
        <v>74</v>
      </c>
      <c r="U820" t="s">
        <v>10870</v>
      </c>
      <c r="V820" t="s">
        <v>10871</v>
      </c>
      <c r="W820" t="s">
        <v>10872</v>
      </c>
      <c r="X820" t="s">
        <v>10873</v>
      </c>
      <c r="Y820" t="s">
        <v>10874</v>
      </c>
      <c r="Z820" t="s">
        <v>10875</v>
      </c>
      <c r="AA820" t="s">
        <v>10876</v>
      </c>
      <c r="AB820" t="s">
        <v>10877</v>
      </c>
      <c r="AC820" t="s">
        <v>74</v>
      </c>
      <c r="AD820" t="s">
        <v>74</v>
      </c>
      <c r="AE820" t="s">
        <v>74</v>
      </c>
      <c r="AF820" t="s">
        <v>74</v>
      </c>
      <c r="AG820">
        <v>27</v>
      </c>
      <c r="AH820">
        <v>77</v>
      </c>
      <c r="AI820">
        <v>84</v>
      </c>
      <c r="AJ820">
        <v>2</v>
      </c>
      <c r="AK820">
        <v>20</v>
      </c>
      <c r="AL820" t="s">
        <v>1059</v>
      </c>
      <c r="AM820" t="s">
        <v>1060</v>
      </c>
      <c r="AN820" t="s">
        <v>1061</v>
      </c>
      <c r="AO820" t="s">
        <v>1062</v>
      </c>
      <c r="AP820" t="s">
        <v>74</v>
      </c>
      <c r="AQ820" t="s">
        <v>74</v>
      </c>
      <c r="AR820" t="s">
        <v>1063</v>
      </c>
      <c r="AS820" t="s">
        <v>1064</v>
      </c>
      <c r="AT820" t="s">
        <v>10864</v>
      </c>
      <c r="AU820">
        <v>2000</v>
      </c>
      <c r="AV820">
        <v>27</v>
      </c>
      <c r="AW820">
        <v>13</v>
      </c>
      <c r="AX820" t="s">
        <v>74</v>
      </c>
      <c r="AY820" t="s">
        <v>74</v>
      </c>
      <c r="AZ820" t="s">
        <v>74</v>
      </c>
      <c r="BA820" t="s">
        <v>74</v>
      </c>
      <c r="BB820">
        <v>1919</v>
      </c>
      <c r="BC820">
        <v>1922</v>
      </c>
      <c r="BD820" t="s">
        <v>74</v>
      </c>
      <c r="BE820" t="s">
        <v>10878</v>
      </c>
      <c r="BF820" t="str">
        <f>HYPERLINK("http://dx.doi.org/10.1029/1999GL011132","http://dx.doi.org/10.1029/1999GL011132")</f>
        <v>http://dx.doi.org/10.1029/1999GL011132</v>
      </c>
      <c r="BG820" t="s">
        <v>74</v>
      </c>
      <c r="BH820" t="s">
        <v>74</v>
      </c>
      <c r="BI820">
        <v>4</v>
      </c>
      <c r="BJ820" t="s">
        <v>595</v>
      </c>
      <c r="BK820" t="s">
        <v>94</v>
      </c>
      <c r="BL820" t="s">
        <v>597</v>
      </c>
      <c r="BM820" t="s">
        <v>10866</v>
      </c>
      <c r="BN820" t="s">
        <v>74</v>
      </c>
      <c r="BO820" t="s">
        <v>10879</v>
      </c>
      <c r="BP820" t="s">
        <v>74</v>
      </c>
      <c r="BQ820" t="s">
        <v>74</v>
      </c>
      <c r="BR820" t="s">
        <v>97</v>
      </c>
      <c r="BS820" t="s">
        <v>10880</v>
      </c>
      <c r="BT820" t="str">
        <f>HYPERLINK("https%3A%2F%2Fwww.webofscience.com%2Fwos%2Fwoscc%2Ffull-record%2FWOS:000088021600030","View Full Record in Web of Science")</f>
        <v>View Full Record in Web of Science</v>
      </c>
    </row>
    <row r="821" spans="1:72" x14ac:dyDescent="0.15">
      <c r="A821" t="s">
        <v>72</v>
      </c>
      <c r="B821" t="s">
        <v>10881</v>
      </c>
      <c r="C821" t="s">
        <v>74</v>
      </c>
      <c r="D821" t="s">
        <v>74</v>
      </c>
      <c r="E821" t="s">
        <v>74</v>
      </c>
      <c r="F821" t="s">
        <v>10881</v>
      </c>
      <c r="G821" t="s">
        <v>74</v>
      </c>
      <c r="H821" t="s">
        <v>74</v>
      </c>
      <c r="I821" t="s">
        <v>10882</v>
      </c>
      <c r="J821" t="s">
        <v>8908</v>
      </c>
      <c r="K821" t="s">
        <v>74</v>
      </c>
      <c r="L821" t="s">
        <v>74</v>
      </c>
      <c r="M821" t="s">
        <v>77</v>
      </c>
      <c r="N821" t="s">
        <v>78</v>
      </c>
      <c r="O821" t="s">
        <v>74</v>
      </c>
      <c r="P821" t="s">
        <v>74</v>
      </c>
      <c r="Q821" t="s">
        <v>74</v>
      </c>
      <c r="R821" t="s">
        <v>74</v>
      </c>
      <c r="S821" t="s">
        <v>74</v>
      </c>
      <c r="T821" t="s">
        <v>10883</v>
      </c>
      <c r="U821" t="s">
        <v>10884</v>
      </c>
      <c r="V821" t="s">
        <v>10885</v>
      </c>
      <c r="W821" t="s">
        <v>10886</v>
      </c>
      <c r="X821" t="s">
        <v>10887</v>
      </c>
      <c r="Y821" t="s">
        <v>10888</v>
      </c>
      <c r="Z821" t="s">
        <v>74</v>
      </c>
      <c r="AA821" t="s">
        <v>10889</v>
      </c>
      <c r="AB821" t="s">
        <v>10890</v>
      </c>
      <c r="AC821" t="s">
        <v>74</v>
      </c>
      <c r="AD821" t="s">
        <v>74</v>
      </c>
      <c r="AE821" t="s">
        <v>74</v>
      </c>
      <c r="AF821" t="s">
        <v>74</v>
      </c>
      <c r="AG821">
        <v>40</v>
      </c>
      <c r="AH821">
        <v>54</v>
      </c>
      <c r="AI821">
        <v>61</v>
      </c>
      <c r="AJ821">
        <v>1</v>
      </c>
      <c r="AK821">
        <v>7</v>
      </c>
      <c r="AL821" t="s">
        <v>8919</v>
      </c>
      <c r="AM821" t="s">
        <v>160</v>
      </c>
      <c r="AN821" t="s">
        <v>10891</v>
      </c>
      <c r="AO821" t="s">
        <v>8922</v>
      </c>
      <c r="AP821" t="s">
        <v>74</v>
      </c>
      <c r="AQ821" t="s">
        <v>74</v>
      </c>
      <c r="AR821" t="s">
        <v>8924</v>
      </c>
      <c r="AS821" t="s">
        <v>8925</v>
      </c>
      <c r="AT821" t="s">
        <v>10688</v>
      </c>
      <c r="AU821">
        <v>2000</v>
      </c>
      <c r="AV821">
        <v>38</v>
      </c>
      <c r="AW821">
        <v>4</v>
      </c>
      <c r="AX821">
        <v>2</v>
      </c>
      <c r="AY821" t="s">
        <v>74</v>
      </c>
      <c r="AZ821" t="s">
        <v>74</v>
      </c>
      <c r="BA821" t="s">
        <v>74</v>
      </c>
      <c r="BB821">
        <v>1810</v>
      </c>
      <c r="BC821">
        <v>1820</v>
      </c>
      <c r="BD821" t="s">
        <v>74</v>
      </c>
      <c r="BE821" t="s">
        <v>10892</v>
      </c>
      <c r="BF821" t="str">
        <f>HYPERLINK("http://dx.doi.org/10.1109/36.851765","http://dx.doi.org/10.1109/36.851765")</f>
        <v>http://dx.doi.org/10.1109/36.851765</v>
      </c>
      <c r="BG821" t="s">
        <v>74</v>
      </c>
      <c r="BH821" t="s">
        <v>74</v>
      </c>
      <c r="BI821">
        <v>11</v>
      </c>
      <c r="BJ821" t="s">
        <v>8927</v>
      </c>
      <c r="BK821" t="s">
        <v>94</v>
      </c>
      <c r="BL821" t="s">
        <v>8928</v>
      </c>
      <c r="BM821" t="s">
        <v>10893</v>
      </c>
      <c r="BN821" t="s">
        <v>74</v>
      </c>
      <c r="BO821" t="s">
        <v>74</v>
      </c>
      <c r="BP821" t="s">
        <v>74</v>
      </c>
      <c r="BQ821" t="s">
        <v>74</v>
      </c>
      <c r="BR821" t="s">
        <v>97</v>
      </c>
      <c r="BS821" t="s">
        <v>10894</v>
      </c>
      <c r="BT821" t="str">
        <f>HYPERLINK("https%3A%2F%2Fwww.webofscience.com%2Fwos%2Fwoscc%2Ffull-record%2FWOS:000088377800007","View Full Record in Web of Science")</f>
        <v>View Full Record in Web of Science</v>
      </c>
    </row>
    <row r="822" spans="1:72" x14ac:dyDescent="0.15">
      <c r="A822" t="s">
        <v>72</v>
      </c>
      <c r="B822" t="s">
        <v>10895</v>
      </c>
      <c r="C822" t="s">
        <v>74</v>
      </c>
      <c r="D822" t="s">
        <v>74</v>
      </c>
      <c r="E822" t="s">
        <v>74</v>
      </c>
      <c r="F822" t="s">
        <v>10895</v>
      </c>
      <c r="G822" t="s">
        <v>74</v>
      </c>
      <c r="H822" t="s">
        <v>74</v>
      </c>
      <c r="I822" t="s">
        <v>10896</v>
      </c>
      <c r="J822" t="s">
        <v>8908</v>
      </c>
      <c r="K822" t="s">
        <v>74</v>
      </c>
      <c r="L822" t="s">
        <v>74</v>
      </c>
      <c r="M822" t="s">
        <v>77</v>
      </c>
      <c r="N822" t="s">
        <v>78</v>
      </c>
      <c r="O822" t="s">
        <v>74</v>
      </c>
      <c r="P822" t="s">
        <v>74</v>
      </c>
      <c r="Q822" t="s">
        <v>74</v>
      </c>
      <c r="R822" t="s">
        <v>74</v>
      </c>
      <c r="S822" t="s">
        <v>74</v>
      </c>
      <c r="T822" t="s">
        <v>10897</v>
      </c>
      <c r="U822" t="s">
        <v>10898</v>
      </c>
      <c r="V822" t="s">
        <v>10899</v>
      </c>
      <c r="W822" t="s">
        <v>10900</v>
      </c>
      <c r="X822" t="s">
        <v>10901</v>
      </c>
      <c r="Y822" t="s">
        <v>10902</v>
      </c>
      <c r="Z822" t="s">
        <v>74</v>
      </c>
      <c r="AA822" t="s">
        <v>10889</v>
      </c>
      <c r="AB822" t="s">
        <v>10890</v>
      </c>
      <c r="AC822" t="s">
        <v>74</v>
      </c>
      <c r="AD822" t="s">
        <v>74</v>
      </c>
      <c r="AE822" t="s">
        <v>74</v>
      </c>
      <c r="AF822" t="s">
        <v>74</v>
      </c>
      <c r="AG822">
        <v>42</v>
      </c>
      <c r="AH822">
        <v>38</v>
      </c>
      <c r="AI822">
        <v>45</v>
      </c>
      <c r="AJ822">
        <v>1</v>
      </c>
      <c r="AK822">
        <v>13</v>
      </c>
      <c r="AL822" t="s">
        <v>8919</v>
      </c>
      <c r="AM822" t="s">
        <v>160</v>
      </c>
      <c r="AN822" t="s">
        <v>10891</v>
      </c>
      <c r="AO822" t="s">
        <v>8922</v>
      </c>
      <c r="AP822" t="s">
        <v>74</v>
      </c>
      <c r="AQ822" t="s">
        <v>74</v>
      </c>
      <c r="AR822" t="s">
        <v>8924</v>
      </c>
      <c r="AS822" t="s">
        <v>8925</v>
      </c>
      <c r="AT822" t="s">
        <v>10688</v>
      </c>
      <c r="AU822">
        <v>2000</v>
      </c>
      <c r="AV822">
        <v>38</v>
      </c>
      <c r="AW822">
        <v>4</v>
      </c>
      <c r="AX822">
        <v>2</v>
      </c>
      <c r="AY822" t="s">
        <v>74</v>
      </c>
      <c r="AZ822" t="s">
        <v>74</v>
      </c>
      <c r="BA822" t="s">
        <v>74</v>
      </c>
      <c r="BB822">
        <v>1827</v>
      </c>
      <c r="BC822">
        <v>1842</v>
      </c>
      <c r="BD822" t="s">
        <v>74</v>
      </c>
      <c r="BE822" t="s">
        <v>10903</v>
      </c>
      <c r="BF822" t="str">
        <f>HYPERLINK("http://dx.doi.org/10.1109/36.851767","http://dx.doi.org/10.1109/36.851767")</f>
        <v>http://dx.doi.org/10.1109/36.851767</v>
      </c>
      <c r="BG822" t="s">
        <v>74</v>
      </c>
      <c r="BH822" t="s">
        <v>74</v>
      </c>
      <c r="BI822">
        <v>16</v>
      </c>
      <c r="BJ822" t="s">
        <v>8927</v>
      </c>
      <c r="BK822" t="s">
        <v>94</v>
      </c>
      <c r="BL822" t="s">
        <v>8928</v>
      </c>
      <c r="BM822" t="s">
        <v>10893</v>
      </c>
      <c r="BN822" t="s">
        <v>74</v>
      </c>
      <c r="BO822" t="s">
        <v>74</v>
      </c>
      <c r="BP822" t="s">
        <v>74</v>
      </c>
      <c r="BQ822" t="s">
        <v>74</v>
      </c>
      <c r="BR822" t="s">
        <v>97</v>
      </c>
      <c r="BS822" t="s">
        <v>10904</v>
      </c>
      <c r="BT822" t="str">
        <f>HYPERLINK("https%3A%2F%2Fwww.webofscience.com%2Fwos%2Fwoscc%2Ffull-record%2FWOS:000088377800009","View Full Record in Web of Science")</f>
        <v>View Full Record in Web of Science</v>
      </c>
    </row>
    <row r="823" spans="1:72" x14ac:dyDescent="0.15">
      <c r="A823" t="s">
        <v>72</v>
      </c>
      <c r="B823" t="s">
        <v>10905</v>
      </c>
      <c r="C823" t="s">
        <v>74</v>
      </c>
      <c r="D823" t="s">
        <v>74</v>
      </c>
      <c r="E823" t="s">
        <v>74</v>
      </c>
      <c r="F823" t="s">
        <v>10905</v>
      </c>
      <c r="G823" t="s">
        <v>74</v>
      </c>
      <c r="H823" t="s">
        <v>74</v>
      </c>
      <c r="I823" t="s">
        <v>10906</v>
      </c>
      <c r="J823" t="s">
        <v>1759</v>
      </c>
      <c r="K823" t="s">
        <v>74</v>
      </c>
      <c r="L823" t="s">
        <v>74</v>
      </c>
      <c r="M823" t="s">
        <v>77</v>
      </c>
      <c r="N823" t="s">
        <v>78</v>
      </c>
      <c r="O823" t="s">
        <v>74</v>
      </c>
      <c r="P823" t="s">
        <v>74</v>
      </c>
      <c r="Q823" t="s">
        <v>74</v>
      </c>
      <c r="R823" t="s">
        <v>74</v>
      </c>
      <c r="S823" t="s">
        <v>74</v>
      </c>
      <c r="T823" t="s">
        <v>74</v>
      </c>
      <c r="U823" t="s">
        <v>10907</v>
      </c>
      <c r="V823" t="s">
        <v>10908</v>
      </c>
      <c r="W823" t="s">
        <v>10909</v>
      </c>
      <c r="X823" t="s">
        <v>10910</v>
      </c>
      <c r="Y823" t="s">
        <v>10911</v>
      </c>
      <c r="Z823" t="s">
        <v>74</v>
      </c>
      <c r="AA823" t="s">
        <v>10912</v>
      </c>
      <c r="AB823" t="s">
        <v>10913</v>
      </c>
      <c r="AC823" t="s">
        <v>74</v>
      </c>
      <c r="AD823" t="s">
        <v>74</v>
      </c>
      <c r="AE823" t="s">
        <v>74</v>
      </c>
      <c r="AF823" t="s">
        <v>74</v>
      </c>
      <c r="AG823">
        <v>24</v>
      </c>
      <c r="AH823">
        <v>1</v>
      </c>
      <c r="AI823">
        <v>1</v>
      </c>
      <c r="AJ823">
        <v>0</v>
      </c>
      <c r="AK823">
        <v>0</v>
      </c>
      <c r="AL823" t="s">
        <v>1025</v>
      </c>
      <c r="AM823" t="s">
        <v>1026</v>
      </c>
      <c r="AN823" t="s">
        <v>1027</v>
      </c>
      <c r="AO823" t="s">
        <v>1766</v>
      </c>
      <c r="AP823" t="s">
        <v>74</v>
      </c>
      <c r="AQ823" t="s">
        <v>74</v>
      </c>
      <c r="AR823" t="s">
        <v>1767</v>
      </c>
      <c r="AS823" t="s">
        <v>1768</v>
      </c>
      <c r="AT823" t="s">
        <v>10673</v>
      </c>
      <c r="AU823">
        <v>2000</v>
      </c>
      <c r="AV823">
        <v>36</v>
      </c>
      <c r="AW823">
        <v>4</v>
      </c>
      <c r="AX823" t="s">
        <v>74</v>
      </c>
      <c r="AY823" t="s">
        <v>74</v>
      </c>
      <c r="AZ823" t="s">
        <v>74</v>
      </c>
      <c r="BA823" t="s">
        <v>74</v>
      </c>
      <c r="BB823">
        <v>473</v>
      </c>
      <c r="BC823">
        <v>483</v>
      </c>
      <c r="BD823" t="s">
        <v>74</v>
      </c>
      <c r="BE823" t="s">
        <v>74</v>
      </c>
      <c r="BF823" t="s">
        <v>74</v>
      </c>
      <c r="BG823" t="s">
        <v>74</v>
      </c>
      <c r="BH823" t="s">
        <v>74</v>
      </c>
      <c r="BI823">
        <v>11</v>
      </c>
      <c r="BJ823" t="s">
        <v>1769</v>
      </c>
      <c r="BK823" t="s">
        <v>94</v>
      </c>
      <c r="BL823" t="s">
        <v>1769</v>
      </c>
      <c r="BM823" t="s">
        <v>10914</v>
      </c>
      <c r="BN823" t="s">
        <v>74</v>
      </c>
      <c r="BO823" t="s">
        <v>74</v>
      </c>
      <c r="BP823" t="s">
        <v>74</v>
      </c>
      <c r="BQ823" t="s">
        <v>74</v>
      </c>
      <c r="BR823" t="s">
        <v>97</v>
      </c>
      <c r="BS823" t="s">
        <v>10915</v>
      </c>
      <c r="BT823" t="str">
        <f>HYPERLINK("https%3A%2F%2Fwww.webofscience.com%2Fwos%2Fwoscc%2Ffull-record%2FWOS:000089032100006","View Full Record in Web of Science")</f>
        <v>View Full Record in Web of Science</v>
      </c>
    </row>
    <row r="824" spans="1:72" x14ac:dyDescent="0.15">
      <c r="A824" t="s">
        <v>72</v>
      </c>
      <c r="B824" t="s">
        <v>7649</v>
      </c>
      <c r="C824" t="s">
        <v>74</v>
      </c>
      <c r="D824" t="s">
        <v>74</v>
      </c>
      <c r="E824" t="s">
        <v>74</v>
      </c>
      <c r="F824" t="s">
        <v>7649</v>
      </c>
      <c r="G824" t="s">
        <v>74</v>
      </c>
      <c r="H824" t="s">
        <v>74</v>
      </c>
      <c r="I824" t="s">
        <v>10916</v>
      </c>
      <c r="J824" t="s">
        <v>10917</v>
      </c>
      <c r="K824" t="s">
        <v>74</v>
      </c>
      <c r="L824" t="s">
        <v>74</v>
      </c>
      <c r="M824" t="s">
        <v>77</v>
      </c>
      <c r="N824" t="s">
        <v>576</v>
      </c>
      <c r="O824" t="s">
        <v>10918</v>
      </c>
      <c r="P824" t="s">
        <v>10919</v>
      </c>
      <c r="Q824" t="s">
        <v>10920</v>
      </c>
      <c r="R824" t="s">
        <v>74</v>
      </c>
      <c r="S824" t="s">
        <v>74</v>
      </c>
      <c r="T824" t="s">
        <v>74</v>
      </c>
      <c r="U824" t="s">
        <v>10921</v>
      </c>
      <c r="V824" t="s">
        <v>10922</v>
      </c>
      <c r="W824" t="s">
        <v>10923</v>
      </c>
      <c r="X824" t="s">
        <v>7642</v>
      </c>
      <c r="Y824" t="s">
        <v>10924</v>
      </c>
      <c r="Z824" t="s">
        <v>10925</v>
      </c>
      <c r="AA824" t="s">
        <v>7656</v>
      </c>
      <c r="AB824" t="s">
        <v>7657</v>
      </c>
      <c r="AC824" t="s">
        <v>74</v>
      </c>
      <c r="AD824" t="s">
        <v>74</v>
      </c>
      <c r="AE824" t="s">
        <v>74</v>
      </c>
      <c r="AF824" t="s">
        <v>74</v>
      </c>
      <c r="AG824">
        <v>174</v>
      </c>
      <c r="AH824">
        <v>277</v>
      </c>
      <c r="AI824">
        <v>302</v>
      </c>
      <c r="AJ824">
        <v>1</v>
      </c>
      <c r="AK824">
        <v>23</v>
      </c>
      <c r="AL824" t="s">
        <v>245</v>
      </c>
      <c r="AM824" t="s">
        <v>246</v>
      </c>
      <c r="AN824" t="s">
        <v>247</v>
      </c>
      <c r="AO824" t="s">
        <v>10926</v>
      </c>
      <c r="AP824" t="s">
        <v>10927</v>
      </c>
      <c r="AQ824" t="s">
        <v>74</v>
      </c>
      <c r="AR824" t="s">
        <v>10928</v>
      </c>
      <c r="AS824" t="s">
        <v>10929</v>
      </c>
      <c r="AT824" t="s">
        <v>10688</v>
      </c>
      <c r="AU824">
        <v>2000</v>
      </c>
      <c r="AV824">
        <v>31</v>
      </c>
      <c r="AW824">
        <v>1</v>
      </c>
      <c r="AX824" t="s">
        <v>74</v>
      </c>
      <c r="AY824" t="s">
        <v>74</v>
      </c>
      <c r="AZ824" t="s">
        <v>74</v>
      </c>
      <c r="BA824" t="s">
        <v>74</v>
      </c>
      <c r="BB824">
        <v>3</v>
      </c>
      <c r="BC824">
        <v>23</v>
      </c>
      <c r="BD824" t="s">
        <v>74</v>
      </c>
      <c r="BE824" t="s">
        <v>10930</v>
      </c>
      <c r="BF824" t="str">
        <f>HYPERLINK("http://dx.doi.org/10.1016/S0899-5362(00)00069-5","http://dx.doi.org/10.1016/S0899-5362(00)00069-5")</f>
        <v>http://dx.doi.org/10.1016/S0899-5362(00)00069-5</v>
      </c>
      <c r="BG824" t="s">
        <v>74</v>
      </c>
      <c r="BH824" t="s">
        <v>74</v>
      </c>
      <c r="BI824">
        <v>21</v>
      </c>
      <c r="BJ824" t="s">
        <v>595</v>
      </c>
      <c r="BK824" t="s">
        <v>2763</v>
      </c>
      <c r="BL824" t="s">
        <v>597</v>
      </c>
      <c r="BM824" t="s">
        <v>10931</v>
      </c>
      <c r="BN824" t="s">
        <v>74</v>
      </c>
      <c r="BO824" t="s">
        <v>74</v>
      </c>
      <c r="BP824" t="s">
        <v>74</v>
      </c>
      <c r="BQ824" t="s">
        <v>74</v>
      </c>
      <c r="BR824" t="s">
        <v>97</v>
      </c>
      <c r="BS824" t="s">
        <v>10932</v>
      </c>
      <c r="BT824" t="str">
        <f>HYPERLINK("https%3A%2F%2Fwww.webofscience.com%2Fwos%2Fwoscc%2Ffull-record%2FWOS:000165467800002","View Full Record in Web of Science")</f>
        <v>View Full Record in Web of Science</v>
      </c>
    </row>
    <row r="825" spans="1:72" x14ac:dyDescent="0.15">
      <c r="A825" t="s">
        <v>72</v>
      </c>
      <c r="B825" t="s">
        <v>10933</v>
      </c>
      <c r="C825" t="s">
        <v>74</v>
      </c>
      <c r="D825" t="s">
        <v>74</v>
      </c>
      <c r="E825" t="s">
        <v>74</v>
      </c>
      <c r="F825" t="s">
        <v>10933</v>
      </c>
      <c r="G825" t="s">
        <v>74</v>
      </c>
      <c r="H825" t="s">
        <v>74</v>
      </c>
      <c r="I825" t="s">
        <v>10934</v>
      </c>
      <c r="J825" t="s">
        <v>10917</v>
      </c>
      <c r="K825" t="s">
        <v>74</v>
      </c>
      <c r="L825" t="s">
        <v>74</v>
      </c>
      <c r="M825" t="s">
        <v>77</v>
      </c>
      <c r="N825" t="s">
        <v>576</v>
      </c>
      <c r="O825" t="s">
        <v>10918</v>
      </c>
      <c r="P825" t="s">
        <v>10919</v>
      </c>
      <c r="Q825" t="s">
        <v>10920</v>
      </c>
      <c r="R825" t="s">
        <v>74</v>
      </c>
      <c r="S825" t="s">
        <v>74</v>
      </c>
      <c r="T825" t="s">
        <v>74</v>
      </c>
      <c r="U825" t="s">
        <v>10935</v>
      </c>
      <c r="V825" t="s">
        <v>10936</v>
      </c>
      <c r="W825" t="s">
        <v>10937</v>
      </c>
      <c r="X825" t="s">
        <v>1931</v>
      </c>
      <c r="Y825" t="s">
        <v>10938</v>
      </c>
      <c r="Z825" t="s">
        <v>10939</v>
      </c>
      <c r="AA825" t="s">
        <v>74</v>
      </c>
      <c r="AB825" t="s">
        <v>10940</v>
      </c>
      <c r="AC825" t="s">
        <v>74</v>
      </c>
      <c r="AD825" t="s">
        <v>74</v>
      </c>
      <c r="AE825" t="s">
        <v>74</v>
      </c>
      <c r="AF825" t="s">
        <v>74</v>
      </c>
      <c r="AG825">
        <v>51</v>
      </c>
      <c r="AH825">
        <v>72</v>
      </c>
      <c r="AI825">
        <v>76</v>
      </c>
      <c r="AJ825">
        <v>1</v>
      </c>
      <c r="AK825">
        <v>5</v>
      </c>
      <c r="AL825" t="s">
        <v>245</v>
      </c>
      <c r="AM825" t="s">
        <v>246</v>
      </c>
      <c r="AN825" t="s">
        <v>247</v>
      </c>
      <c r="AO825" t="s">
        <v>10926</v>
      </c>
      <c r="AP825" t="s">
        <v>10927</v>
      </c>
      <c r="AQ825" t="s">
        <v>74</v>
      </c>
      <c r="AR825" t="s">
        <v>10928</v>
      </c>
      <c r="AS825" t="s">
        <v>10929</v>
      </c>
      <c r="AT825" t="s">
        <v>10688</v>
      </c>
      <c r="AU825">
        <v>2000</v>
      </c>
      <c r="AV825">
        <v>31</v>
      </c>
      <c r="AW825">
        <v>1</v>
      </c>
      <c r="AX825" t="s">
        <v>74</v>
      </c>
      <c r="AY825" t="s">
        <v>74</v>
      </c>
      <c r="AZ825" t="s">
        <v>74</v>
      </c>
      <c r="BA825" t="s">
        <v>74</v>
      </c>
      <c r="BB825">
        <v>51</v>
      </c>
      <c r="BC825">
        <v>63</v>
      </c>
      <c r="BD825" t="s">
        <v>74</v>
      </c>
      <c r="BE825" t="s">
        <v>10941</v>
      </c>
      <c r="BF825" t="str">
        <f>HYPERLINK("http://dx.doi.org/10.1016/S0899-5362(00)00072-5","http://dx.doi.org/10.1016/S0899-5362(00)00072-5")</f>
        <v>http://dx.doi.org/10.1016/S0899-5362(00)00072-5</v>
      </c>
      <c r="BG825" t="s">
        <v>74</v>
      </c>
      <c r="BH825" t="s">
        <v>74</v>
      </c>
      <c r="BI825">
        <v>13</v>
      </c>
      <c r="BJ825" t="s">
        <v>595</v>
      </c>
      <c r="BK825" t="s">
        <v>2763</v>
      </c>
      <c r="BL825" t="s">
        <v>597</v>
      </c>
      <c r="BM825" t="s">
        <v>10931</v>
      </c>
      <c r="BN825" t="s">
        <v>74</v>
      </c>
      <c r="BO825" t="s">
        <v>74</v>
      </c>
      <c r="BP825" t="s">
        <v>74</v>
      </c>
      <c r="BQ825" t="s">
        <v>74</v>
      </c>
      <c r="BR825" t="s">
        <v>97</v>
      </c>
      <c r="BS825" t="s">
        <v>10942</v>
      </c>
      <c r="BT825" t="str">
        <f>HYPERLINK("https%3A%2F%2Fwww.webofscience.com%2Fwos%2Fwoscc%2Ffull-record%2FWOS:000165467800005","View Full Record in Web of Science")</f>
        <v>View Full Record in Web of Science</v>
      </c>
    </row>
    <row r="826" spans="1:72" x14ac:dyDescent="0.15">
      <c r="A826" t="s">
        <v>72</v>
      </c>
      <c r="B826" t="s">
        <v>10943</v>
      </c>
      <c r="C826" t="s">
        <v>74</v>
      </c>
      <c r="D826" t="s">
        <v>74</v>
      </c>
      <c r="E826" t="s">
        <v>74</v>
      </c>
      <c r="F826" t="s">
        <v>10943</v>
      </c>
      <c r="G826" t="s">
        <v>74</v>
      </c>
      <c r="H826" t="s">
        <v>74</v>
      </c>
      <c r="I826" t="s">
        <v>10944</v>
      </c>
      <c r="J826" t="s">
        <v>10917</v>
      </c>
      <c r="K826" t="s">
        <v>74</v>
      </c>
      <c r="L826" t="s">
        <v>74</v>
      </c>
      <c r="M826" t="s">
        <v>77</v>
      </c>
      <c r="N826" t="s">
        <v>576</v>
      </c>
      <c r="O826" t="s">
        <v>10918</v>
      </c>
      <c r="P826" t="s">
        <v>10919</v>
      </c>
      <c r="Q826" t="s">
        <v>10920</v>
      </c>
      <c r="R826" t="s">
        <v>74</v>
      </c>
      <c r="S826" t="s">
        <v>74</v>
      </c>
      <c r="T826" t="s">
        <v>74</v>
      </c>
      <c r="U826" t="s">
        <v>10945</v>
      </c>
      <c r="V826" t="s">
        <v>10946</v>
      </c>
      <c r="W826" t="s">
        <v>10947</v>
      </c>
      <c r="X826" t="s">
        <v>10948</v>
      </c>
      <c r="Y826" t="s">
        <v>10949</v>
      </c>
      <c r="Z826" t="s">
        <v>10950</v>
      </c>
      <c r="AA826" t="s">
        <v>74</v>
      </c>
      <c r="AB826" t="s">
        <v>74</v>
      </c>
      <c r="AC826" t="s">
        <v>74</v>
      </c>
      <c r="AD826" t="s">
        <v>74</v>
      </c>
      <c r="AE826" t="s">
        <v>74</v>
      </c>
      <c r="AF826" t="s">
        <v>74</v>
      </c>
      <c r="AG826">
        <v>47</v>
      </c>
      <c r="AH826">
        <v>27</v>
      </c>
      <c r="AI826">
        <v>28</v>
      </c>
      <c r="AJ826">
        <v>0</v>
      </c>
      <c r="AK826">
        <v>1</v>
      </c>
      <c r="AL826" t="s">
        <v>245</v>
      </c>
      <c r="AM826" t="s">
        <v>246</v>
      </c>
      <c r="AN826" t="s">
        <v>247</v>
      </c>
      <c r="AO826" t="s">
        <v>10926</v>
      </c>
      <c r="AP826" t="s">
        <v>10927</v>
      </c>
      <c r="AQ826" t="s">
        <v>74</v>
      </c>
      <c r="AR826" t="s">
        <v>10928</v>
      </c>
      <c r="AS826" t="s">
        <v>10929</v>
      </c>
      <c r="AT826" t="s">
        <v>10688</v>
      </c>
      <c r="AU826">
        <v>2000</v>
      </c>
      <c r="AV826">
        <v>31</v>
      </c>
      <c r="AW826">
        <v>1</v>
      </c>
      <c r="AX826" t="s">
        <v>74</v>
      </c>
      <c r="AY826" t="s">
        <v>74</v>
      </c>
      <c r="AZ826" t="s">
        <v>74</v>
      </c>
      <c r="BA826" t="s">
        <v>74</v>
      </c>
      <c r="BB826">
        <v>77</v>
      </c>
      <c r="BC826">
        <v>89</v>
      </c>
      <c r="BD826" t="s">
        <v>74</v>
      </c>
      <c r="BE826" t="s">
        <v>10951</v>
      </c>
      <c r="BF826" t="str">
        <f>HYPERLINK("http://dx.doi.org/10.1016/S0899-5362(00)00074-9","http://dx.doi.org/10.1016/S0899-5362(00)00074-9")</f>
        <v>http://dx.doi.org/10.1016/S0899-5362(00)00074-9</v>
      </c>
      <c r="BG826" t="s">
        <v>74</v>
      </c>
      <c r="BH826" t="s">
        <v>74</v>
      </c>
      <c r="BI826">
        <v>13</v>
      </c>
      <c r="BJ826" t="s">
        <v>595</v>
      </c>
      <c r="BK826" t="s">
        <v>2763</v>
      </c>
      <c r="BL826" t="s">
        <v>597</v>
      </c>
      <c r="BM826" t="s">
        <v>10931</v>
      </c>
      <c r="BN826" t="s">
        <v>74</v>
      </c>
      <c r="BO826" t="s">
        <v>74</v>
      </c>
      <c r="BP826" t="s">
        <v>74</v>
      </c>
      <c r="BQ826" t="s">
        <v>74</v>
      </c>
      <c r="BR826" t="s">
        <v>97</v>
      </c>
      <c r="BS826" t="s">
        <v>10952</v>
      </c>
      <c r="BT826" t="str">
        <f>HYPERLINK("https%3A%2F%2Fwww.webofscience.com%2Fwos%2Fwoscc%2Ffull-record%2FWOS:000165467800007","View Full Record in Web of Science")</f>
        <v>View Full Record in Web of Science</v>
      </c>
    </row>
    <row r="827" spans="1:72" x14ac:dyDescent="0.15">
      <c r="A827" t="s">
        <v>72</v>
      </c>
      <c r="B827" t="s">
        <v>10953</v>
      </c>
      <c r="C827" t="s">
        <v>74</v>
      </c>
      <c r="D827" t="s">
        <v>74</v>
      </c>
      <c r="E827" t="s">
        <v>74</v>
      </c>
      <c r="F827" t="s">
        <v>10953</v>
      </c>
      <c r="G827" t="s">
        <v>74</v>
      </c>
      <c r="H827" t="s">
        <v>74</v>
      </c>
      <c r="I827" t="s">
        <v>10954</v>
      </c>
      <c r="J827" t="s">
        <v>10917</v>
      </c>
      <c r="K827" t="s">
        <v>74</v>
      </c>
      <c r="L827" t="s">
        <v>74</v>
      </c>
      <c r="M827" t="s">
        <v>77</v>
      </c>
      <c r="N827" t="s">
        <v>576</v>
      </c>
      <c r="O827" t="s">
        <v>10918</v>
      </c>
      <c r="P827" t="s">
        <v>10919</v>
      </c>
      <c r="Q827" t="s">
        <v>10920</v>
      </c>
      <c r="R827" t="s">
        <v>74</v>
      </c>
      <c r="S827" t="s">
        <v>74</v>
      </c>
      <c r="T827" t="s">
        <v>74</v>
      </c>
      <c r="U827" t="s">
        <v>10955</v>
      </c>
      <c r="V827" t="s">
        <v>10956</v>
      </c>
      <c r="W827" t="s">
        <v>10957</v>
      </c>
      <c r="X827" t="s">
        <v>9788</v>
      </c>
      <c r="Y827" t="s">
        <v>6837</v>
      </c>
      <c r="Z827" t="s">
        <v>10958</v>
      </c>
      <c r="AA827" t="s">
        <v>74</v>
      </c>
      <c r="AB827" t="s">
        <v>74</v>
      </c>
      <c r="AC827" t="s">
        <v>74</v>
      </c>
      <c r="AD827" t="s">
        <v>74</v>
      </c>
      <c r="AE827" t="s">
        <v>74</v>
      </c>
      <c r="AF827" t="s">
        <v>74</v>
      </c>
      <c r="AG827">
        <v>54</v>
      </c>
      <c r="AH827">
        <v>31</v>
      </c>
      <c r="AI827">
        <v>37</v>
      </c>
      <c r="AJ827">
        <v>0</v>
      </c>
      <c r="AK827">
        <v>7</v>
      </c>
      <c r="AL827" t="s">
        <v>245</v>
      </c>
      <c r="AM827" t="s">
        <v>246</v>
      </c>
      <c r="AN827" t="s">
        <v>247</v>
      </c>
      <c r="AO827" t="s">
        <v>10926</v>
      </c>
      <c r="AP827" t="s">
        <v>10927</v>
      </c>
      <c r="AQ827" t="s">
        <v>74</v>
      </c>
      <c r="AR827" t="s">
        <v>10928</v>
      </c>
      <c r="AS827" t="s">
        <v>10929</v>
      </c>
      <c r="AT827" t="s">
        <v>10688</v>
      </c>
      <c r="AU827">
        <v>2000</v>
      </c>
      <c r="AV827">
        <v>31</v>
      </c>
      <c r="AW827">
        <v>1</v>
      </c>
      <c r="AX827" t="s">
        <v>74</v>
      </c>
      <c r="AY827" t="s">
        <v>74</v>
      </c>
      <c r="AZ827" t="s">
        <v>74</v>
      </c>
      <c r="BA827" t="s">
        <v>74</v>
      </c>
      <c r="BB827">
        <v>91</v>
      </c>
      <c r="BC827">
        <v>105</v>
      </c>
      <c r="BD827" t="s">
        <v>74</v>
      </c>
      <c r="BE827" t="s">
        <v>10959</v>
      </c>
      <c r="BF827" t="str">
        <f>HYPERLINK("http://dx.doi.org/10.1016/S0899-5362(00)00075-0","http://dx.doi.org/10.1016/S0899-5362(00)00075-0")</f>
        <v>http://dx.doi.org/10.1016/S0899-5362(00)00075-0</v>
      </c>
      <c r="BG827" t="s">
        <v>74</v>
      </c>
      <c r="BH827" t="s">
        <v>74</v>
      </c>
      <c r="BI827">
        <v>15</v>
      </c>
      <c r="BJ827" t="s">
        <v>595</v>
      </c>
      <c r="BK827" t="s">
        <v>2763</v>
      </c>
      <c r="BL827" t="s">
        <v>597</v>
      </c>
      <c r="BM827" t="s">
        <v>10931</v>
      </c>
      <c r="BN827" t="s">
        <v>74</v>
      </c>
      <c r="BO827" t="s">
        <v>74</v>
      </c>
      <c r="BP827" t="s">
        <v>74</v>
      </c>
      <c r="BQ827" t="s">
        <v>74</v>
      </c>
      <c r="BR827" t="s">
        <v>97</v>
      </c>
      <c r="BS827" t="s">
        <v>10960</v>
      </c>
      <c r="BT827" t="str">
        <f>HYPERLINK("https%3A%2F%2Fwww.webofscience.com%2Fwos%2Fwoscc%2Ffull-record%2FWOS:000165467800008","View Full Record in Web of Science")</f>
        <v>View Full Record in Web of Science</v>
      </c>
    </row>
    <row r="828" spans="1:72" x14ac:dyDescent="0.15">
      <c r="A828" t="s">
        <v>72</v>
      </c>
      <c r="B828" t="s">
        <v>10961</v>
      </c>
      <c r="C828" t="s">
        <v>74</v>
      </c>
      <c r="D828" t="s">
        <v>74</v>
      </c>
      <c r="E828" t="s">
        <v>74</v>
      </c>
      <c r="F828" t="s">
        <v>10961</v>
      </c>
      <c r="G828" t="s">
        <v>74</v>
      </c>
      <c r="H828" t="s">
        <v>74</v>
      </c>
      <c r="I828" t="s">
        <v>10962</v>
      </c>
      <c r="J828" t="s">
        <v>1911</v>
      </c>
      <c r="K828" t="s">
        <v>74</v>
      </c>
      <c r="L828" t="s">
        <v>74</v>
      </c>
      <c r="M828" t="s">
        <v>77</v>
      </c>
      <c r="N828" t="s">
        <v>78</v>
      </c>
      <c r="O828" t="s">
        <v>74</v>
      </c>
      <c r="P828" t="s">
        <v>74</v>
      </c>
      <c r="Q828" t="s">
        <v>74</v>
      </c>
      <c r="R828" t="s">
        <v>74</v>
      </c>
      <c r="S828" t="s">
        <v>74</v>
      </c>
      <c r="T828" t="s">
        <v>10963</v>
      </c>
      <c r="U828" t="s">
        <v>10964</v>
      </c>
      <c r="V828" t="s">
        <v>10965</v>
      </c>
      <c r="W828" t="s">
        <v>3768</v>
      </c>
      <c r="X828" t="s">
        <v>2468</v>
      </c>
      <c r="Y828" t="s">
        <v>5357</v>
      </c>
      <c r="Z828" t="s">
        <v>74</v>
      </c>
      <c r="AA828" t="s">
        <v>74</v>
      </c>
      <c r="AB828" t="s">
        <v>74</v>
      </c>
      <c r="AC828" t="s">
        <v>74</v>
      </c>
      <c r="AD828" t="s">
        <v>74</v>
      </c>
      <c r="AE828" t="s">
        <v>74</v>
      </c>
      <c r="AF828" t="s">
        <v>74</v>
      </c>
      <c r="AG828">
        <v>24</v>
      </c>
      <c r="AH828">
        <v>29</v>
      </c>
      <c r="AI828">
        <v>32</v>
      </c>
      <c r="AJ828">
        <v>0</v>
      </c>
      <c r="AK828">
        <v>3</v>
      </c>
      <c r="AL828" t="s">
        <v>245</v>
      </c>
      <c r="AM828" t="s">
        <v>246</v>
      </c>
      <c r="AN828" t="s">
        <v>247</v>
      </c>
      <c r="AO828" t="s">
        <v>1918</v>
      </c>
      <c r="AP828" t="s">
        <v>74</v>
      </c>
      <c r="AQ828" t="s">
        <v>74</v>
      </c>
      <c r="AR828" t="s">
        <v>1919</v>
      </c>
      <c r="AS828" t="s">
        <v>1920</v>
      </c>
      <c r="AT828" t="s">
        <v>10688</v>
      </c>
      <c r="AU828">
        <v>2000</v>
      </c>
      <c r="AV828">
        <v>62</v>
      </c>
      <c r="AW828">
        <v>11</v>
      </c>
      <c r="AX828" t="s">
        <v>74</v>
      </c>
      <c r="AY828" t="s">
        <v>74</v>
      </c>
      <c r="AZ828" t="s">
        <v>74</v>
      </c>
      <c r="BA828" t="s">
        <v>74</v>
      </c>
      <c r="BB828">
        <v>955</v>
      </c>
      <c r="BC828">
        <v>966</v>
      </c>
      <c r="BD828" t="s">
        <v>74</v>
      </c>
      <c r="BE828" t="s">
        <v>10966</v>
      </c>
      <c r="BF828" t="str">
        <f>HYPERLINK("http://dx.doi.org/10.1016/S1364-6826(00)00080-8","http://dx.doi.org/10.1016/S1364-6826(00)00080-8")</f>
        <v>http://dx.doi.org/10.1016/S1364-6826(00)00080-8</v>
      </c>
      <c r="BG828" t="s">
        <v>74</v>
      </c>
      <c r="BH828" t="s">
        <v>74</v>
      </c>
      <c r="BI828">
        <v>12</v>
      </c>
      <c r="BJ828" t="s">
        <v>1085</v>
      </c>
      <c r="BK828" t="s">
        <v>94</v>
      </c>
      <c r="BL828" t="s">
        <v>1085</v>
      </c>
      <c r="BM828" t="s">
        <v>10967</v>
      </c>
      <c r="BN828" t="s">
        <v>74</v>
      </c>
      <c r="BO828" t="s">
        <v>74</v>
      </c>
      <c r="BP828" t="s">
        <v>74</v>
      </c>
      <c r="BQ828" t="s">
        <v>74</v>
      </c>
      <c r="BR828" t="s">
        <v>97</v>
      </c>
      <c r="BS828" t="s">
        <v>10968</v>
      </c>
      <c r="BT828" t="str">
        <f>HYPERLINK("https%3A%2F%2Fwww.webofscience.com%2Fwos%2Fwoscc%2Ffull-record%2FWOS:000089470000001","View Full Record in Web of Science")</f>
        <v>View Full Record in Web of Science</v>
      </c>
    </row>
    <row r="829" spans="1:72" x14ac:dyDescent="0.15">
      <c r="A829" t="s">
        <v>72</v>
      </c>
      <c r="B829" t="s">
        <v>10969</v>
      </c>
      <c r="C829" t="s">
        <v>74</v>
      </c>
      <c r="D829" t="s">
        <v>74</v>
      </c>
      <c r="E829" t="s">
        <v>74</v>
      </c>
      <c r="F829" t="s">
        <v>10969</v>
      </c>
      <c r="G829" t="s">
        <v>74</v>
      </c>
      <c r="H829" t="s">
        <v>74</v>
      </c>
      <c r="I829" t="s">
        <v>10970</v>
      </c>
      <c r="J829" t="s">
        <v>1947</v>
      </c>
      <c r="K829" t="s">
        <v>74</v>
      </c>
      <c r="L829" t="s">
        <v>74</v>
      </c>
      <c r="M829" t="s">
        <v>77</v>
      </c>
      <c r="N829" t="s">
        <v>78</v>
      </c>
      <c r="O829" t="s">
        <v>74</v>
      </c>
      <c r="P829" t="s">
        <v>74</v>
      </c>
      <c r="Q829" t="s">
        <v>74</v>
      </c>
      <c r="R829" t="s">
        <v>74</v>
      </c>
      <c r="S829" t="s">
        <v>74</v>
      </c>
      <c r="T829" t="s">
        <v>74</v>
      </c>
      <c r="U829" t="s">
        <v>10971</v>
      </c>
      <c r="V829" t="s">
        <v>10972</v>
      </c>
      <c r="W829" t="s">
        <v>10973</v>
      </c>
      <c r="X829" t="s">
        <v>1365</v>
      </c>
      <c r="Y829" t="s">
        <v>10974</v>
      </c>
      <c r="Z829" t="s">
        <v>10975</v>
      </c>
      <c r="AA829" t="s">
        <v>74</v>
      </c>
      <c r="AB829" t="s">
        <v>74</v>
      </c>
      <c r="AC829" t="s">
        <v>74</v>
      </c>
      <c r="AD829" t="s">
        <v>74</v>
      </c>
      <c r="AE829" t="s">
        <v>74</v>
      </c>
      <c r="AF829" t="s">
        <v>74</v>
      </c>
      <c r="AG829">
        <v>31</v>
      </c>
      <c r="AH829">
        <v>33</v>
      </c>
      <c r="AI829">
        <v>38</v>
      </c>
      <c r="AJ829">
        <v>0</v>
      </c>
      <c r="AK829">
        <v>2</v>
      </c>
      <c r="AL829" t="s">
        <v>1842</v>
      </c>
      <c r="AM829" t="s">
        <v>1843</v>
      </c>
      <c r="AN829" t="s">
        <v>1844</v>
      </c>
      <c r="AO829" t="s">
        <v>1951</v>
      </c>
      <c r="AP829" t="s">
        <v>1978</v>
      </c>
      <c r="AQ829" t="s">
        <v>74</v>
      </c>
      <c r="AR829" t="s">
        <v>1952</v>
      </c>
      <c r="AS829" t="s">
        <v>1953</v>
      </c>
      <c r="AT829" t="s">
        <v>10864</v>
      </c>
      <c r="AU829">
        <v>2000</v>
      </c>
      <c r="AV829">
        <v>13</v>
      </c>
      <c r="AW829">
        <v>13</v>
      </c>
      <c r="AX829" t="s">
        <v>74</v>
      </c>
      <c r="AY829" t="s">
        <v>74</v>
      </c>
      <c r="AZ829" t="s">
        <v>74</v>
      </c>
      <c r="BA829" t="s">
        <v>74</v>
      </c>
      <c r="BB829">
        <v>2125</v>
      </c>
      <c r="BC829">
        <v>2141</v>
      </c>
      <c r="BD829" t="s">
        <v>74</v>
      </c>
      <c r="BE829" t="s">
        <v>10976</v>
      </c>
      <c r="BF829" t="str">
        <f>HYPERLINK("http://dx.doi.org/10.1175/1520-0442(2000)013&lt;2125:IOTACW&gt;2.0.CO;2","http://dx.doi.org/10.1175/1520-0442(2000)013&lt;2125:IOTACW&gt;2.0.CO;2")</f>
        <v>http://dx.doi.org/10.1175/1520-0442(2000)013&lt;2125:IOTACW&gt;2.0.CO;2</v>
      </c>
      <c r="BG829" t="s">
        <v>74</v>
      </c>
      <c r="BH829" t="s">
        <v>74</v>
      </c>
      <c r="BI829">
        <v>17</v>
      </c>
      <c r="BJ829" t="s">
        <v>167</v>
      </c>
      <c r="BK829" t="s">
        <v>94</v>
      </c>
      <c r="BL829" t="s">
        <v>167</v>
      </c>
      <c r="BM829" t="s">
        <v>10977</v>
      </c>
      <c r="BN829" t="s">
        <v>74</v>
      </c>
      <c r="BO829" t="s">
        <v>1850</v>
      </c>
      <c r="BP829" t="s">
        <v>74</v>
      </c>
      <c r="BQ829" t="s">
        <v>74</v>
      </c>
      <c r="BR829" t="s">
        <v>97</v>
      </c>
      <c r="BS829" t="s">
        <v>10978</v>
      </c>
      <c r="BT829" t="str">
        <f>HYPERLINK("https%3A%2F%2Fwww.webofscience.com%2Fwos%2Fwoscc%2Ffull-record%2FWOS:000088489900001","View Full Record in Web of Science")</f>
        <v>View Full Record in Web of Science</v>
      </c>
    </row>
    <row r="830" spans="1:72" x14ac:dyDescent="0.15">
      <c r="A830" t="s">
        <v>72</v>
      </c>
      <c r="B830" t="s">
        <v>10979</v>
      </c>
      <c r="C830" t="s">
        <v>74</v>
      </c>
      <c r="D830" t="s">
        <v>74</v>
      </c>
      <c r="E830" t="s">
        <v>74</v>
      </c>
      <c r="F830" t="s">
        <v>10979</v>
      </c>
      <c r="G830" t="s">
        <v>74</v>
      </c>
      <c r="H830" t="s">
        <v>74</v>
      </c>
      <c r="I830" t="s">
        <v>10980</v>
      </c>
      <c r="J830" t="s">
        <v>1947</v>
      </c>
      <c r="K830" t="s">
        <v>74</v>
      </c>
      <c r="L830" t="s">
        <v>74</v>
      </c>
      <c r="M830" t="s">
        <v>77</v>
      </c>
      <c r="N830" t="s">
        <v>78</v>
      </c>
      <c r="O830" t="s">
        <v>74</v>
      </c>
      <c r="P830" t="s">
        <v>74</v>
      </c>
      <c r="Q830" t="s">
        <v>74</v>
      </c>
      <c r="R830" t="s">
        <v>74</v>
      </c>
      <c r="S830" t="s">
        <v>74</v>
      </c>
      <c r="T830" t="s">
        <v>74</v>
      </c>
      <c r="U830" t="s">
        <v>10981</v>
      </c>
      <c r="V830" t="s">
        <v>10982</v>
      </c>
      <c r="W830" t="s">
        <v>10983</v>
      </c>
      <c r="X830" t="s">
        <v>4056</v>
      </c>
      <c r="Y830" t="s">
        <v>10984</v>
      </c>
      <c r="Z830" t="s">
        <v>10985</v>
      </c>
      <c r="AA830" t="s">
        <v>74</v>
      </c>
      <c r="AB830" t="s">
        <v>74</v>
      </c>
      <c r="AC830" t="s">
        <v>74</v>
      </c>
      <c r="AD830" t="s">
        <v>74</v>
      </c>
      <c r="AE830" t="s">
        <v>74</v>
      </c>
      <c r="AF830" t="s">
        <v>74</v>
      </c>
      <c r="AG830">
        <v>59</v>
      </c>
      <c r="AH830">
        <v>84</v>
      </c>
      <c r="AI830">
        <v>87</v>
      </c>
      <c r="AJ830">
        <v>0</v>
      </c>
      <c r="AK830">
        <v>21</v>
      </c>
      <c r="AL830" t="s">
        <v>1842</v>
      </c>
      <c r="AM830" t="s">
        <v>1843</v>
      </c>
      <c r="AN830" t="s">
        <v>1844</v>
      </c>
      <c r="AO830" t="s">
        <v>1951</v>
      </c>
      <c r="AP830" t="s">
        <v>1978</v>
      </c>
      <c r="AQ830" t="s">
        <v>74</v>
      </c>
      <c r="AR830" t="s">
        <v>1952</v>
      </c>
      <c r="AS830" t="s">
        <v>1953</v>
      </c>
      <c r="AT830" t="s">
        <v>10864</v>
      </c>
      <c r="AU830">
        <v>2000</v>
      </c>
      <c r="AV830">
        <v>13</v>
      </c>
      <c r="AW830">
        <v>13</v>
      </c>
      <c r="AX830" t="s">
        <v>74</v>
      </c>
      <c r="AY830" t="s">
        <v>74</v>
      </c>
      <c r="AZ830" t="s">
        <v>74</v>
      </c>
      <c r="BA830" t="s">
        <v>74</v>
      </c>
      <c r="BB830">
        <v>2142</v>
      </c>
      <c r="BC830">
        <v>2159</v>
      </c>
      <c r="BD830" t="s">
        <v>74</v>
      </c>
      <c r="BE830" t="s">
        <v>10986</v>
      </c>
      <c r="BF830" t="str">
        <f>HYPERLINK("http://dx.doi.org/10.1175/1520-0442(2000)013&lt;2142:TROTSC&gt;2.0.CO;2","http://dx.doi.org/10.1175/1520-0442(2000)013&lt;2142:TROTSC&gt;2.0.CO;2")</f>
        <v>http://dx.doi.org/10.1175/1520-0442(2000)013&lt;2142:TROTSC&gt;2.0.CO;2</v>
      </c>
      <c r="BG830" t="s">
        <v>74</v>
      </c>
      <c r="BH830" t="s">
        <v>74</v>
      </c>
      <c r="BI830">
        <v>18</v>
      </c>
      <c r="BJ830" t="s">
        <v>167</v>
      </c>
      <c r="BK830" t="s">
        <v>94</v>
      </c>
      <c r="BL830" t="s">
        <v>167</v>
      </c>
      <c r="BM830" t="s">
        <v>10977</v>
      </c>
      <c r="BN830" t="s">
        <v>74</v>
      </c>
      <c r="BO830" t="s">
        <v>1850</v>
      </c>
      <c r="BP830" t="s">
        <v>74</v>
      </c>
      <c r="BQ830" t="s">
        <v>74</v>
      </c>
      <c r="BR830" t="s">
        <v>97</v>
      </c>
      <c r="BS830" t="s">
        <v>10987</v>
      </c>
      <c r="BT830" t="str">
        <f>HYPERLINK("https%3A%2F%2Fwww.webofscience.com%2Fwos%2Fwoscc%2Ffull-record%2FWOS:000088489900002","View Full Record in Web of Science")</f>
        <v>View Full Record in Web of Science</v>
      </c>
    </row>
    <row r="831" spans="1:72" x14ac:dyDescent="0.15">
      <c r="A831" t="s">
        <v>72</v>
      </c>
      <c r="B831" t="s">
        <v>10988</v>
      </c>
      <c r="C831" t="s">
        <v>74</v>
      </c>
      <c r="D831" t="s">
        <v>74</v>
      </c>
      <c r="E831" t="s">
        <v>74</v>
      </c>
      <c r="F831" t="s">
        <v>10988</v>
      </c>
      <c r="G831" t="s">
        <v>74</v>
      </c>
      <c r="H831" t="s">
        <v>74</v>
      </c>
      <c r="I831" t="s">
        <v>10989</v>
      </c>
      <c r="J831" t="s">
        <v>10990</v>
      </c>
      <c r="K831" t="s">
        <v>74</v>
      </c>
      <c r="L831" t="s">
        <v>74</v>
      </c>
      <c r="M831" t="s">
        <v>77</v>
      </c>
      <c r="N831" t="s">
        <v>78</v>
      </c>
      <c r="O831" t="s">
        <v>74</v>
      </c>
      <c r="P831" t="s">
        <v>74</v>
      </c>
      <c r="Q831" t="s">
        <v>74</v>
      </c>
      <c r="R831" t="s">
        <v>74</v>
      </c>
      <c r="S831" t="s">
        <v>74</v>
      </c>
      <c r="T831" t="s">
        <v>10991</v>
      </c>
      <c r="U831" t="s">
        <v>10992</v>
      </c>
      <c r="V831" t="s">
        <v>10993</v>
      </c>
      <c r="W831" t="s">
        <v>10994</v>
      </c>
      <c r="X831" t="s">
        <v>2027</v>
      </c>
      <c r="Y831" t="s">
        <v>3102</v>
      </c>
      <c r="Z831" t="s">
        <v>7876</v>
      </c>
      <c r="AA831" t="s">
        <v>10995</v>
      </c>
      <c r="AB831" t="s">
        <v>7878</v>
      </c>
      <c r="AC831" t="s">
        <v>74</v>
      </c>
      <c r="AD831" t="s">
        <v>74</v>
      </c>
      <c r="AE831" t="s">
        <v>74</v>
      </c>
      <c r="AF831" t="s">
        <v>74</v>
      </c>
      <c r="AG831">
        <v>46</v>
      </c>
      <c r="AH831">
        <v>57</v>
      </c>
      <c r="AI831">
        <v>78</v>
      </c>
      <c r="AJ831">
        <v>0</v>
      </c>
      <c r="AK831">
        <v>16</v>
      </c>
      <c r="AL831" t="s">
        <v>813</v>
      </c>
      <c r="AM831" t="s">
        <v>814</v>
      </c>
      <c r="AN831" t="s">
        <v>815</v>
      </c>
      <c r="AO831" t="s">
        <v>10996</v>
      </c>
      <c r="AP831" t="s">
        <v>10997</v>
      </c>
      <c r="AQ831" t="s">
        <v>74</v>
      </c>
      <c r="AR831" t="s">
        <v>10998</v>
      </c>
      <c r="AS831" t="s">
        <v>10999</v>
      </c>
      <c r="AT831" t="s">
        <v>10688</v>
      </c>
      <c r="AU831">
        <v>2000</v>
      </c>
      <c r="AV831">
        <v>13</v>
      </c>
      <c r="AW831">
        <v>4</v>
      </c>
      <c r="AX831" t="s">
        <v>74</v>
      </c>
      <c r="AY831" t="s">
        <v>74</v>
      </c>
      <c r="AZ831" t="s">
        <v>74</v>
      </c>
      <c r="BA831" t="s">
        <v>74</v>
      </c>
      <c r="BB831">
        <v>624</v>
      </c>
      <c r="BC831">
        <v>633</v>
      </c>
      <c r="BD831" t="s">
        <v>74</v>
      </c>
      <c r="BE831" t="s">
        <v>74</v>
      </c>
      <c r="BF831" t="s">
        <v>74</v>
      </c>
      <c r="BG831" t="s">
        <v>74</v>
      </c>
      <c r="BH831" t="s">
        <v>74</v>
      </c>
      <c r="BI831">
        <v>10</v>
      </c>
      <c r="BJ831" t="s">
        <v>11000</v>
      </c>
      <c r="BK831" t="s">
        <v>94</v>
      </c>
      <c r="BL831" t="s">
        <v>11001</v>
      </c>
      <c r="BM831" t="s">
        <v>11002</v>
      </c>
      <c r="BN831" t="s">
        <v>74</v>
      </c>
      <c r="BO831" t="s">
        <v>74</v>
      </c>
      <c r="BP831" t="s">
        <v>74</v>
      </c>
      <c r="BQ831" t="s">
        <v>74</v>
      </c>
      <c r="BR831" t="s">
        <v>97</v>
      </c>
      <c r="BS831" t="s">
        <v>11003</v>
      </c>
      <c r="BT831" t="str">
        <f>HYPERLINK("https%3A%2F%2Fwww.webofscience.com%2Fwos%2Fwoscc%2Ffull-record%2FWOS:000087844000007","View Full Record in Web of Science")</f>
        <v>View Full Record in Web of Science</v>
      </c>
    </row>
    <row r="832" spans="1:72" x14ac:dyDescent="0.15">
      <c r="A832" t="s">
        <v>72</v>
      </c>
      <c r="B832" t="s">
        <v>11004</v>
      </c>
      <c r="C832" t="s">
        <v>74</v>
      </c>
      <c r="D832" t="s">
        <v>74</v>
      </c>
      <c r="E832" t="s">
        <v>74</v>
      </c>
      <c r="F832" t="s">
        <v>11004</v>
      </c>
      <c r="G832" t="s">
        <v>74</v>
      </c>
      <c r="H832" t="s">
        <v>74</v>
      </c>
      <c r="I832" t="s">
        <v>11005</v>
      </c>
      <c r="J832" t="s">
        <v>5521</v>
      </c>
      <c r="K832" t="s">
        <v>74</v>
      </c>
      <c r="L832" t="s">
        <v>74</v>
      </c>
      <c r="M832" t="s">
        <v>77</v>
      </c>
      <c r="N832" t="s">
        <v>78</v>
      </c>
      <c r="O832" t="s">
        <v>74</v>
      </c>
      <c r="P832" t="s">
        <v>74</v>
      </c>
      <c r="Q832" t="s">
        <v>74</v>
      </c>
      <c r="R832" t="s">
        <v>74</v>
      </c>
      <c r="S832" t="s">
        <v>74</v>
      </c>
      <c r="T832" t="s">
        <v>11006</v>
      </c>
      <c r="U832" t="s">
        <v>11007</v>
      </c>
      <c r="V832" t="s">
        <v>11008</v>
      </c>
      <c r="W832" t="s">
        <v>11009</v>
      </c>
      <c r="X832" t="s">
        <v>11010</v>
      </c>
      <c r="Y832" t="s">
        <v>11011</v>
      </c>
      <c r="Z832" t="s">
        <v>74</v>
      </c>
      <c r="AA832" t="s">
        <v>74</v>
      </c>
      <c r="AB832" t="s">
        <v>11012</v>
      </c>
      <c r="AC832" t="s">
        <v>74</v>
      </c>
      <c r="AD832" t="s">
        <v>74</v>
      </c>
      <c r="AE832" t="s">
        <v>74</v>
      </c>
      <c r="AF832" t="s">
        <v>74</v>
      </c>
      <c r="AG832">
        <v>35</v>
      </c>
      <c r="AH832">
        <v>161</v>
      </c>
      <c r="AI832">
        <v>183</v>
      </c>
      <c r="AJ832">
        <v>0</v>
      </c>
      <c r="AK832">
        <v>41</v>
      </c>
      <c r="AL832" t="s">
        <v>5530</v>
      </c>
      <c r="AM832" t="s">
        <v>109</v>
      </c>
      <c r="AN832" t="s">
        <v>5531</v>
      </c>
      <c r="AO832" t="s">
        <v>5532</v>
      </c>
      <c r="AP832" t="s">
        <v>74</v>
      </c>
      <c r="AQ832" t="s">
        <v>74</v>
      </c>
      <c r="AR832" t="s">
        <v>5533</v>
      </c>
      <c r="AS832" t="s">
        <v>5534</v>
      </c>
      <c r="AT832" t="s">
        <v>10688</v>
      </c>
      <c r="AU832">
        <v>2000</v>
      </c>
      <c r="AV832">
        <v>203</v>
      </c>
      <c r="AW832">
        <v>14</v>
      </c>
      <c r="AX832" t="s">
        <v>74</v>
      </c>
      <c r="AY832" t="s">
        <v>74</v>
      </c>
      <c r="AZ832" t="s">
        <v>74</v>
      </c>
      <c r="BA832" t="s">
        <v>74</v>
      </c>
      <c r="BB832">
        <v>2105</v>
      </c>
      <c r="BC832">
        <v>2115</v>
      </c>
      <c r="BD832" t="s">
        <v>74</v>
      </c>
      <c r="BE832" t="s">
        <v>74</v>
      </c>
      <c r="BF832" t="s">
        <v>74</v>
      </c>
      <c r="BG832" t="s">
        <v>74</v>
      </c>
      <c r="BH832" t="s">
        <v>74</v>
      </c>
      <c r="BI832">
        <v>11</v>
      </c>
      <c r="BJ832" t="s">
        <v>3757</v>
      </c>
      <c r="BK832" t="s">
        <v>94</v>
      </c>
      <c r="BL832" t="s">
        <v>3758</v>
      </c>
      <c r="BM832" t="s">
        <v>11013</v>
      </c>
      <c r="BN832">
        <v>10862723</v>
      </c>
      <c r="BO832" t="s">
        <v>74</v>
      </c>
      <c r="BP832" t="s">
        <v>74</v>
      </c>
      <c r="BQ832" t="s">
        <v>74</v>
      </c>
      <c r="BR832" t="s">
        <v>97</v>
      </c>
      <c r="BS832" t="s">
        <v>11014</v>
      </c>
      <c r="BT832" t="str">
        <f>HYPERLINK("https%3A%2F%2Fwww.webofscience.com%2Fwos%2Fwoscc%2Ffull-record%2FWOS:000088520300003","View Full Record in Web of Science")</f>
        <v>View Full Record in Web of Science</v>
      </c>
    </row>
    <row r="833" spans="1:72" x14ac:dyDescent="0.15">
      <c r="A833" t="s">
        <v>72</v>
      </c>
      <c r="B833" t="s">
        <v>11015</v>
      </c>
      <c r="C833" t="s">
        <v>74</v>
      </c>
      <c r="D833" t="s">
        <v>74</v>
      </c>
      <c r="E833" t="s">
        <v>74</v>
      </c>
      <c r="F833" t="s">
        <v>11015</v>
      </c>
      <c r="G833" t="s">
        <v>74</v>
      </c>
      <c r="H833" t="s">
        <v>74</v>
      </c>
      <c r="I833" t="s">
        <v>11016</v>
      </c>
      <c r="J833" t="s">
        <v>2125</v>
      </c>
      <c r="K833" t="s">
        <v>74</v>
      </c>
      <c r="L833" t="s">
        <v>74</v>
      </c>
      <c r="M833" t="s">
        <v>77</v>
      </c>
      <c r="N833" t="s">
        <v>78</v>
      </c>
      <c r="O833" t="s">
        <v>74</v>
      </c>
      <c r="P833" t="s">
        <v>74</v>
      </c>
      <c r="Q833" t="s">
        <v>74</v>
      </c>
      <c r="R833" t="s">
        <v>74</v>
      </c>
      <c r="S833" t="s">
        <v>74</v>
      </c>
      <c r="T833" t="s">
        <v>74</v>
      </c>
      <c r="U833" t="s">
        <v>11017</v>
      </c>
      <c r="V833" t="s">
        <v>11018</v>
      </c>
      <c r="W833" t="s">
        <v>885</v>
      </c>
      <c r="X833" t="s">
        <v>221</v>
      </c>
      <c r="Y833" t="s">
        <v>1280</v>
      </c>
      <c r="Z833" t="s">
        <v>11019</v>
      </c>
      <c r="AA833" t="s">
        <v>11020</v>
      </c>
      <c r="AB833" t="s">
        <v>74</v>
      </c>
      <c r="AC833" t="s">
        <v>74</v>
      </c>
      <c r="AD833" t="s">
        <v>74</v>
      </c>
      <c r="AE833" t="s">
        <v>74</v>
      </c>
      <c r="AF833" t="s">
        <v>74</v>
      </c>
      <c r="AG833">
        <v>61</v>
      </c>
      <c r="AH833">
        <v>9</v>
      </c>
      <c r="AI833">
        <v>9</v>
      </c>
      <c r="AJ833">
        <v>1</v>
      </c>
      <c r="AK833">
        <v>7</v>
      </c>
      <c r="AL833" t="s">
        <v>2132</v>
      </c>
      <c r="AM833" t="s">
        <v>2133</v>
      </c>
      <c r="AN833" t="s">
        <v>2134</v>
      </c>
      <c r="AO833" t="s">
        <v>2135</v>
      </c>
      <c r="AP833" t="s">
        <v>6897</v>
      </c>
      <c r="AQ833" t="s">
        <v>74</v>
      </c>
      <c r="AR833" t="s">
        <v>2136</v>
      </c>
      <c r="AS833" t="s">
        <v>2137</v>
      </c>
      <c r="AT833" t="s">
        <v>10688</v>
      </c>
      <c r="AU833">
        <v>2000</v>
      </c>
      <c r="AV833">
        <v>108</v>
      </c>
      <c r="AW833">
        <v>4</v>
      </c>
      <c r="AX833" t="s">
        <v>74</v>
      </c>
      <c r="AY833" t="s">
        <v>74</v>
      </c>
      <c r="AZ833" t="s">
        <v>74</v>
      </c>
      <c r="BA833" t="s">
        <v>74</v>
      </c>
      <c r="BB833">
        <v>403</v>
      </c>
      <c r="BC833">
        <v>425</v>
      </c>
      <c r="BD833" t="s">
        <v>74</v>
      </c>
      <c r="BE833" t="s">
        <v>11021</v>
      </c>
      <c r="BF833" t="str">
        <f>HYPERLINK("http://dx.doi.org/10.1086/314408","http://dx.doi.org/10.1086/314408")</f>
        <v>http://dx.doi.org/10.1086/314408</v>
      </c>
      <c r="BG833" t="s">
        <v>74</v>
      </c>
      <c r="BH833" t="s">
        <v>74</v>
      </c>
      <c r="BI833">
        <v>23</v>
      </c>
      <c r="BJ833" t="s">
        <v>597</v>
      </c>
      <c r="BK833" t="s">
        <v>94</v>
      </c>
      <c r="BL833" t="s">
        <v>597</v>
      </c>
      <c r="BM833" t="s">
        <v>11022</v>
      </c>
      <c r="BN833">
        <v>10856012</v>
      </c>
      <c r="BO833" t="s">
        <v>74</v>
      </c>
      <c r="BP833" t="s">
        <v>74</v>
      </c>
      <c r="BQ833" t="s">
        <v>74</v>
      </c>
      <c r="BR833" t="s">
        <v>97</v>
      </c>
      <c r="BS833" t="s">
        <v>11023</v>
      </c>
      <c r="BT833" t="str">
        <f>HYPERLINK("https%3A%2F%2Fwww.webofscience.com%2Fwos%2Fwoscc%2Ffull-record%2FWOS:000088192400003","View Full Record in Web of Science")</f>
        <v>View Full Record in Web of Science</v>
      </c>
    </row>
    <row r="834" spans="1:72" x14ac:dyDescent="0.15">
      <c r="A834" t="s">
        <v>72</v>
      </c>
      <c r="B834" t="s">
        <v>11024</v>
      </c>
      <c r="C834" t="s">
        <v>74</v>
      </c>
      <c r="D834" t="s">
        <v>74</v>
      </c>
      <c r="E834" t="s">
        <v>74</v>
      </c>
      <c r="F834" t="s">
        <v>11024</v>
      </c>
      <c r="G834" t="s">
        <v>74</v>
      </c>
      <c r="H834" t="s">
        <v>74</v>
      </c>
      <c r="I834" t="s">
        <v>11025</v>
      </c>
      <c r="J834" t="s">
        <v>2143</v>
      </c>
      <c r="K834" t="s">
        <v>74</v>
      </c>
      <c r="L834" t="s">
        <v>74</v>
      </c>
      <c r="M834" t="s">
        <v>77</v>
      </c>
      <c r="N834" t="s">
        <v>78</v>
      </c>
      <c r="O834" t="s">
        <v>74</v>
      </c>
      <c r="P834" t="s">
        <v>74</v>
      </c>
      <c r="Q834" t="s">
        <v>74</v>
      </c>
      <c r="R834" t="s">
        <v>74</v>
      </c>
      <c r="S834" t="s">
        <v>74</v>
      </c>
      <c r="T834" t="s">
        <v>74</v>
      </c>
      <c r="U834" t="s">
        <v>11026</v>
      </c>
      <c r="V834" t="s">
        <v>11027</v>
      </c>
      <c r="W834" t="s">
        <v>11028</v>
      </c>
      <c r="X834" t="s">
        <v>5668</v>
      </c>
      <c r="Y834" t="s">
        <v>11029</v>
      </c>
      <c r="Z834" t="s">
        <v>11030</v>
      </c>
      <c r="AA834" t="s">
        <v>1916</v>
      </c>
      <c r="AB834" t="s">
        <v>1917</v>
      </c>
      <c r="AC834" t="s">
        <v>74</v>
      </c>
      <c r="AD834" t="s">
        <v>74</v>
      </c>
      <c r="AE834" t="s">
        <v>74</v>
      </c>
      <c r="AF834" t="s">
        <v>74</v>
      </c>
      <c r="AG834">
        <v>49</v>
      </c>
      <c r="AH834">
        <v>32</v>
      </c>
      <c r="AI834">
        <v>35</v>
      </c>
      <c r="AJ834">
        <v>0</v>
      </c>
      <c r="AK834">
        <v>4</v>
      </c>
      <c r="AL834" t="s">
        <v>1059</v>
      </c>
      <c r="AM834" t="s">
        <v>1060</v>
      </c>
      <c r="AN834" t="s">
        <v>1061</v>
      </c>
      <c r="AO834" t="s">
        <v>2150</v>
      </c>
      <c r="AP834" t="s">
        <v>2151</v>
      </c>
      <c r="AQ834" t="s">
        <v>74</v>
      </c>
      <c r="AR834" t="s">
        <v>2152</v>
      </c>
      <c r="AS834" t="s">
        <v>2153</v>
      </c>
      <c r="AT834" t="s">
        <v>10864</v>
      </c>
      <c r="AU834">
        <v>2000</v>
      </c>
      <c r="AV834">
        <v>105</v>
      </c>
      <c r="AW834" t="s">
        <v>11031</v>
      </c>
      <c r="AX834" t="s">
        <v>74</v>
      </c>
      <c r="AY834" t="s">
        <v>74</v>
      </c>
      <c r="AZ834" t="s">
        <v>74</v>
      </c>
      <c r="BA834" t="s">
        <v>74</v>
      </c>
      <c r="BB834">
        <v>15981</v>
      </c>
      <c r="BC834">
        <v>15990</v>
      </c>
      <c r="BD834" t="s">
        <v>74</v>
      </c>
      <c r="BE834" t="s">
        <v>11032</v>
      </c>
      <c r="BF834" t="str">
        <f>HYPERLINK("http://dx.doi.org/10.1029/1999JA000413","http://dx.doi.org/10.1029/1999JA000413")</f>
        <v>http://dx.doi.org/10.1029/1999JA000413</v>
      </c>
      <c r="BG834" t="s">
        <v>74</v>
      </c>
      <c r="BH834" t="s">
        <v>74</v>
      </c>
      <c r="BI834">
        <v>10</v>
      </c>
      <c r="BJ834" t="s">
        <v>909</v>
      </c>
      <c r="BK834" t="s">
        <v>94</v>
      </c>
      <c r="BL834" t="s">
        <v>909</v>
      </c>
      <c r="BM834" t="s">
        <v>11033</v>
      </c>
      <c r="BN834" t="s">
        <v>74</v>
      </c>
      <c r="BO834" t="s">
        <v>6776</v>
      </c>
      <c r="BP834" t="s">
        <v>74</v>
      </c>
      <c r="BQ834" t="s">
        <v>74</v>
      </c>
      <c r="BR834" t="s">
        <v>97</v>
      </c>
      <c r="BS834" t="s">
        <v>11034</v>
      </c>
      <c r="BT834" t="str">
        <f>HYPERLINK("https%3A%2F%2Fwww.webofscience.com%2Fwos%2Fwoscc%2Ffull-record%2FWOS:000087962100022","View Full Record in Web of Science")</f>
        <v>View Full Record in Web of Science</v>
      </c>
    </row>
    <row r="835" spans="1:72" x14ac:dyDescent="0.15">
      <c r="A835" t="s">
        <v>72</v>
      </c>
      <c r="B835" t="s">
        <v>11035</v>
      </c>
      <c r="C835" t="s">
        <v>74</v>
      </c>
      <c r="D835" t="s">
        <v>74</v>
      </c>
      <c r="E835" t="s">
        <v>74</v>
      </c>
      <c r="F835" t="s">
        <v>11035</v>
      </c>
      <c r="G835" t="s">
        <v>74</v>
      </c>
      <c r="H835" t="s">
        <v>74</v>
      </c>
      <c r="I835" t="s">
        <v>11036</v>
      </c>
      <c r="J835" t="s">
        <v>11037</v>
      </c>
      <c r="K835" t="s">
        <v>74</v>
      </c>
      <c r="L835" t="s">
        <v>74</v>
      </c>
      <c r="M835" t="s">
        <v>77</v>
      </c>
      <c r="N835" t="s">
        <v>78</v>
      </c>
      <c r="O835" t="s">
        <v>74</v>
      </c>
      <c r="P835" t="s">
        <v>74</v>
      </c>
      <c r="Q835" t="s">
        <v>74</v>
      </c>
      <c r="R835" t="s">
        <v>74</v>
      </c>
      <c r="S835" t="s">
        <v>74</v>
      </c>
      <c r="T835" t="s">
        <v>11038</v>
      </c>
      <c r="U835" t="s">
        <v>11039</v>
      </c>
      <c r="V835" t="s">
        <v>11040</v>
      </c>
      <c r="W835" t="s">
        <v>11041</v>
      </c>
      <c r="X835" t="s">
        <v>11042</v>
      </c>
      <c r="Y835" t="s">
        <v>11043</v>
      </c>
      <c r="Z835" t="s">
        <v>11044</v>
      </c>
      <c r="AA835" t="s">
        <v>5594</v>
      </c>
      <c r="AB835" t="s">
        <v>5595</v>
      </c>
      <c r="AC835" t="s">
        <v>11045</v>
      </c>
      <c r="AD835" t="s">
        <v>11046</v>
      </c>
      <c r="AE835" t="s">
        <v>74</v>
      </c>
      <c r="AF835" t="s">
        <v>74</v>
      </c>
      <c r="AG835">
        <v>48</v>
      </c>
      <c r="AH835">
        <v>22</v>
      </c>
      <c r="AI835">
        <v>23</v>
      </c>
      <c r="AJ835">
        <v>1</v>
      </c>
      <c r="AK835">
        <v>6</v>
      </c>
      <c r="AL835" t="s">
        <v>813</v>
      </c>
      <c r="AM835" t="s">
        <v>814</v>
      </c>
      <c r="AN835" t="s">
        <v>815</v>
      </c>
      <c r="AO835" t="s">
        <v>11047</v>
      </c>
      <c r="AP835" t="s">
        <v>11048</v>
      </c>
      <c r="AQ835" t="s">
        <v>74</v>
      </c>
      <c r="AR835" t="s">
        <v>11049</v>
      </c>
      <c r="AS835" t="s">
        <v>11050</v>
      </c>
      <c r="AT835" t="s">
        <v>10688</v>
      </c>
      <c r="AU835">
        <v>2000</v>
      </c>
      <c r="AV835">
        <v>245</v>
      </c>
      <c r="AW835">
        <v>1</v>
      </c>
      <c r="AX835" t="s">
        <v>74</v>
      </c>
      <c r="AY835" t="s">
        <v>74</v>
      </c>
      <c r="AZ835" t="s">
        <v>74</v>
      </c>
      <c r="BA835" t="s">
        <v>74</v>
      </c>
      <c r="BB835">
        <v>67</v>
      </c>
      <c r="BC835">
        <v>79</v>
      </c>
      <c r="BD835" t="s">
        <v>74</v>
      </c>
      <c r="BE835" t="s">
        <v>11051</v>
      </c>
      <c r="BF835" t="str">
        <f>HYPERLINK("http://dx.doi.org/10.1002/1097-4687(200007)245:1&lt;67::AID-JMOR5&gt;3.0.CO;2-W","http://dx.doi.org/10.1002/1097-4687(200007)245:1&lt;67::AID-JMOR5&gt;3.0.CO;2-W")</f>
        <v>http://dx.doi.org/10.1002/1097-4687(200007)245:1&lt;67::AID-JMOR5&gt;3.0.CO;2-W</v>
      </c>
      <c r="BG835" t="s">
        <v>74</v>
      </c>
      <c r="BH835" t="s">
        <v>74</v>
      </c>
      <c r="BI835">
        <v>13</v>
      </c>
      <c r="BJ835" t="s">
        <v>11052</v>
      </c>
      <c r="BK835" t="s">
        <v>94</v>
      </c>
      <c r="BL835" t="s">
        <v>11052</v>
      </c>
      <c r="BM835" t="s">
        <v>11053</v>
      </c>
      <c r="BN835">
        <v>10861832</v>
      </c>
      <c r="BO835" t="s">
        <v>74</v>
      </c>
      <c r="BP835" t="s">
        <v>74</v>
      </c>
      <c r="BQ835" t="s">
        <v>74</v>
      </c>
      <c r="BR835" t="s">
        <v>97</v>
      </c>
      <c r="BS835" t="s">
        <v>11054</v>
      </c>
      <c r="BT835" t="str">
        <f>HYPERLINK("https%3A%2F%2Fwww.webofscience.com%2Fwos%2Fwoscc%2Ffull-record%2FWOS:000087968900005","View Full Record in Web of Science")</f>
        <v>View Full Record in Web of Science</v>
      </c>
    </row>
    <row r="836" spans="1:72" x14ac:dyDescent="0.15">
      <c r="A836" t="s">
        <v>72</v>
      </c>
      <c r="B836" t="s">
        <v>11055</v>
      </c>
      <c r="C836" t="s">
        <v>74</v>
      </c>
      <c r="D836" t="s">
        <v>74</v>
      </c>
      <c r="E836" t="s">
        <v>74</v>
      </c>
      <c r="F836" t="s">
        <v>11055</v>
      </c>
      <c r="G836" t="s">
        <v>74</v>
      </c>
      <c r="H836" t="s">
        <v>74</v>
      </c>
      <c r="I836" t="s">
        <v>11056</v>
      </c>
      <c r="J836" t="s">
        <v>11057</v>
      </c>
      <c r="K836" t="s">
        <v>74</v>
      </c>
      <c r="L836" t="s">
        <v>74</v>
      </c>
      <c r="M836" t="s">
        <v>77</v>
      </c>
      <c r="N836" t="s">
        <v>78</v>
      </c>
      <c r="O836" t="s">
        <v>74</v>
      </c>
      <c r="P836" t="s">
        <v>74</v>
      </c>
      <c r="Q836" t="s">
        <v>74</v>
      </c>
      <c r="R836" t="s">
        <v>74</v>
      </c>
      <c r="S836" t="s">
        <v>74</v>
      </c>
      <c r="T836" t="s">
        <v>11058</v>
      </c>
      <c r="U836" t="s">
        <v>11059</v>
      </c>
      <c r="V836" t="s">
        <v>11060</v>
      </c>
      <c r="W836" t="s">
        <v>11061</v>
      </c>
      <c r="X836" t="s">
        <v>11062</v>
      </c>
      <c r="Y836" t="s">
        <v>11063</v>
      </c>
      <c r="Z836" t="s">
        <v>74</v>
      </c>
      <c r="AA836" t="s">
        <v>74</v>
      </c>
      <c r="AB836" t="s">
        <v>74</v>
      </c>
      <c r="AC836" t="s">
        <v>74</v>
      </c>
      <c r="AD836" t="s">
        <v>74</v>
      </c>
      <c r="AE836" t="s">
        <v>74</v>
      </c>
      <c r="AF836" t="s">
        <v>74</v>
      </c>
      <c r="AG836">
        <v>26</v>
      </c>
      <c r="AH836">
        <v>6</v>
      </c>
      <c r="AI836">
        <v>6</v>
      </c>
      <c r="AJ836">
        <v>0</v>
      </c>
      <c r="AK836">
        <v>3</v>
      </c>
      <c r="AL836" t="s">
        <v>4495</v>
      </c>
      <c r="AM836" t="s">
        <v>4496</v>
      </c>
      <c r="AN836" t="s">
        <v>4497</v>
      </c>
      <c r="AO836" t="s">
        <v>11064</v>
      </c>
      <c r="AP836" t="s">
        <v>74</v>
      </c>
      <c r="AQ836" t="s">
        <v>74</v>
      </c>
      <c r="AR836" t="s">
        <v>11065</v>
      </c>
      <c r="AS836" t="s">
        <v>11066</v>
      </c>
      <c r="AT836" t="s">
        <v>10688</v>
      </c>
      <c r="AU836">
        <v>2000</v>
      </c>
      <c r="AV836">
        <v>56</v>
      </c>
      <c r="AW836">
        <v>1</v>
      </c>
      <c r="AX836" t="s">
        <v>74</v>
      </c>
      <c r="AY836" t="s">
        <v>74</v>
      </c>
      <c r="AZ836" t="s">
        <v>74</v>
      </c>
      <c r="BA836" t="s">
        <v>74</v>
      </c>
      <c r="BB836">
        <v>47</v>
      </c>
      <c r="BC836">
        <v>54</v>
      </c>
      <c r="BD836" t="s">
        <v>74</v>
      </c>
      <c r="BE836" t="s">
        <v>11067</v>
      </c>
      <c r="BF836" t="str">
        <f>HYPERLINK("http://dx.doi.org/10.1034/j.1399-3011.2000.00742.x","http://dx.doi.org/10.1034/j.1399-3011.2000.00742.x")</f>
        <v>http://dx.doi.org/10.1034/j.1399-3011.2000.00742.x</v>
      </c>
      <c r="BG836" t="s">
        <v>74</v>
      </c>
      <c r="BH836" t="s">
        <v>74</v>
      </c>
      <c r="BI836">
        <v>8</v>
      </c>
      <c r="BJ836" t="s">
        <v>1353</v>
      </c>
      <c r="BK836" t="s">
        <v>94</v>
      </c>
      <c r="BL836" t="s">
        <v>820</v>
      </c>
      <c r="BM836" t="s">
        <v>11068</v>
      </c>
      <c r="BN836">
        <v>10917456</v>
      </c>
      <c r="BO836" t="s">
        <v>74</v>
      </c>
      <c r="BP836" t="s">
        <v>74</v>
      </c>
      <c r="BQ836" t="s">
        <v>74</v>
      </c>
      <c r="BR836" t="s">
        <v>97</v>
      </c>
      <c r="BS836" t="s">
        <v>11069</v>
      </c>
      <c r="BT836" t="str">
        <f>HYPERLINK("https%3A%2F%2Fwww.webofscience.com%2Fwos%2Fwoscc%2Ffull-record%2FWOS:000088215700006","View Full Record in Web of Science")</f>
        <v>View Full Record in Web of Science</v>
      </c>
    </row>
    <row r="837" spans="1:72" x14ac:dyDescent="0.15">
      <c r="A837" t="s">
        <v>72</v>
      </c>
      <c r="B837" t="s">
        <v>11070</v>
      </c>
      <c r="C837" t="s">
        <v>74</v>
      </c>
      <c r="D837" t="s">
        <v>74</v>
      </c>
      <c r="E837" t="s">
        <v>74</v>
      </c>
      <c r="F837" t="s">
        <v>11070</v>
      </c>
      <c r="G837" t="s">
        <v>74</v>
      </c>
      <c r="H837" t="s">
        <v>74</v>
      </c>
      <c r="I837" t="s">
        <v>11071</v>
      </c>
      <c r="J837" t="s">
        <v>2417</v>
      </c>
      <c r="K837" t="s">
        <v>74</v>
      </c>
      <c r="L837" t="s">
        <v>74</v>
      </c>
      <c r="M837" t="s">
        <v>77</v>
      </c>
      <c r="N837" t="s">
        <v>78</v>
      </c>
      <c r="O837" t="s">
        <v>74</v>
      </c>
      <c r="P837" t="s">
        <v>74</v>
      </c>
      <c r="Q837" t="s">
        <v>74</v>
      </c>
      <c r="R837" t="s">
        <v>74</v>
      </c>
      <c r="S837" t="s">
        <v>74</v>
      </c>
      <c r="T837" t="s">
        <v>74</v>
      </c>
      <c r="U837" t="s">
        <v>11072</v>
      </c>
      <c r="V837" t="s">
        <v>11073</v>
      </c>
      <c r="W837" t="s">
        <v>11074</v>
      </c>
      <c r="X837" t="s">
        <v>11075</v>
      </c>
      <c r="Y837" t="s">
        <v>11076</v>
      </c>
      <c r="Z837" t="s">
        <v>11077</v>
      </c>
      <c r="AA837" t="s">
        <v>11078</v>
      </c>
      <c r="AB837" t="s">
        <v>11079</v>
      </c>
      <c r="AC837" t="s">
        <v>74</v>
      </c>
      <c r="AD837" t="s">
        <v>74</v>
      </c>
      <c r="AE837" t="s">
        <v>74</v>
      </c>
      <c r="AF837" t="s">
        <v>74</v>
      </c>
      <c r="AG837">
        <v>51</v>
      </c>
      <c r="AH837">
        <v>12</v>
      </c>
      <c r="AI837">
        <v>12</v>
      </c>
      <c r="AJ837">
        <v>0</v>
      </c>
      <c r="AK837">
        <v>2</v>
      </c>
      <c r="AL837" t="s">
        <v>1842</v>
      </c>
      <c r="AM837" t="s">
        <v>1843</v>
      </c>
      <c r="AN837" t="s">
        <v>1844</v>
      </c>
      <c r="AO837" t="s">
        <v>2423</v>
      </c>
      <c r="AP837" t="s">
        <v>2491</v>
      </c>
      <c r="AQ837" t="s">
        <v>74</v>
      </c>
      <c r="AR837" t="s">
        <v>2424</v>
      </c>
      <c r="AS837" t="s">
        <v>2425</v>
      </c>
      <c r="AT837" t="s">
        <v>10688</v>
      </c>
      <c r="AU837">
        <v>2000</v>
      </c>
      <c r="AV837">
        <v>30</v>
      </c>
      <c r="AW837">
        <v>7</v>
      </c>
      <c r="AX837" t="s">
        <v>74</v>
      </c>
      <c r="AY837" t="s">
        <v>74</v>
      </c>
      <c r="AZ837" t="s">
        <v>74</v>
      </c>
      <c r="BA837" t="s">
        <v>74</v>
      </c>
      <c r="BB837">
        <v>1645</v>
      </c>
      <c r="BC837">
        <v>1668</v>
      </c>
      <c r="BD837" t="s">
        <v>74</v>
      </c>
      <c r="BE837" t="s">
        <v>11080</v>
      </c>
      <c r="BF837" t="str">
        <f>HYPERLINK("http://dx.doi.org/10.1175/1520-0485(2000)030&lt;1645:EFASOM&gt;2.0.CO;2","http://dx.doi.org/10.1175/1520-0485(2000)030&lt;1645:EFASOM&gt;2.0.CO;2")</f>
        <v>http://dx.doi.org/10.1175/1520-0485(2000)030&lt;1645:EFASOM&gt;2.0.CO;2</v>
      </c>
      <c r="BG837" t="s">
        <v>74</v>
      </c>
      <c r="BH837" t="s">
        <v>74</v>
      </c>
      <c r="BI837">
        <v>24</v>
      </c>
      <c r="BJ837" t="s">
        <v>252</v>
      </c>
      <c r="BK837" t="s">
        <v>94</v>
      </c>
      <c r="BL837" t="s">
        <v>252</v>
      </c>
      <c r="BM837" t="s">
        <v>11081</v>
      </c>
      <c r="BN837" t="s">
        <v>74</v>
      </c>
      <c r="BO837" t="s">
        <v>1850</v>
      </c>
      <c r="BP837" t="s">
        <v>74</v>
      </c>
      <c r="BQ837" t="s">
        <v>74</v>
      </c>
      <c r="BR837" t="s">
        <v>97</v>
      </c>
      <c r="BS837" t="s">
        <v>11082</v>
      </c>
      <c r="BT837" t="str">
        <f>HYPERLINK("https%3A%2F%2Fwww.webofscience.com%2Fwos%2Fwoscc%2Ffull-record%2FWOS:000088583700008","View Full Record in Web of Science")</f>
        <v>View Full Record in Web of Science</v>
      </c>
    </row>
    <row r="838" spans="1:72" x14ac:dyDescent="0.15">
      <c r="A838" t="s">
        <v>72</v>
      </c>
      <c r="B838" t="s">
        <v>11083</v>
      </c>
      <c r="C838" t="s">
        <v>74</v>
      </c>
      <c r="D838" t="s">
        <v>74</v>
      </c>
      <c r="E838" t="s">
        <v>74</v>
      </c>
      <c r="F838" t="s">
        <v>11083</v>
      </c>
      <c r="G838" t="s">
        <v>74</v>
      </c>
      <c r="H838" t="s">
        <v>74</v>
      </c>
      <c r="I838" t="s">
        <v>11084</v>
      </c>
      <c r="J838" t="s">
        <v>11085</v>
      </c>
      <c r="K838" t="s">
        <v>74</v>
      </c>
      <c r="L838" t="s">
        <v>74</v>
      </c>
      <c r="M838" t="s">
        <v>77</v>
      </c>
      <c r="N838" t="s">
        <v>78</v>
      </c>
      <c r="O838" t="s">
        <v>74</v>
      </c>
      <c r="P838" t="s">
        <v>74</v>
      </c>
      <c r="Q838" t="s">
        <v>74</v>
      </c>
      <c r="R838" t="s">
        <v>74</v>
      </c>
      <c r="S838" t="s">
        <v>74</v>
      </c>
      <c r="T838" t="s">
        <v>74</v>
      </c>
      <c r="U838" t="s">
        <v>11086</v>
      </c>
      <c r="V838" t="s">
        <v>11087</v>
      </c>
      <c r="W838" t="s">
        <v>11088</v>
      </c>
      <c r="X838" t="s">
        <v>11089</v>
      </c>
      <c r="Y838" t="s">
        <v>11090</v>
      </c>
      <c r="Z838" t="s">
        <v>74</v>
      </c>
      <c r="AA838" t="s">
        <v>74</v>
      </c>
      <c r="AB838" t="s">
        <v>74</v>
      </c>
      <c r="AC838" t="s">
        <v>74</v>
      </c>
      <c r="AD838" t="s">
        <v>74</v>
      </c>
      <c r="AE838" t="s">
        <v>74</v>
      </c>
      <c r="AF838" t="s">
        <v>74</v>
      </c>
      <c r="AG838">
        <v>19</v>
      </c>
      <c r="AH838">
        <v>83</v>
      </c>
      <c r="AI838">
        <v>87</v>
      </c>
      <c r="AJ838">
        <v>0</v>
      </c>
      <c r="AK838">
        <v>14</v>
      </c>
      <c r="AL838" t="s">
        <v>4249</v>
      </c>
      <c r="AM838" t="s">
        <v>4250</v>
      </c>
      <c r="AN838" t="s">
        <v>4251</v>
      </c>
      <c r="AO838" t="s">
        <v>11091</v>
      </c>
      <c r="AP838" t="s">
        <v>74</v>
      </c>
      <c r="AQ838" t="s">
        <v>74</v>
      </c>
      <c r="AR838" t="s">
        <v>11092</v>
      </c>
      <c r="AS838" t="s">
        <v>11093</v>
      </c>
      <c r="AT838" t="s">
        <v>10688</v>
      </c>
      <c r="AU838">
        <v>2000</v>
      </c>
      <c r="AV838">
        <v>31</v>
      </c>
      <c r="AW838">
        <v>7</v>
      </c>
      <c r="AX838" t="s">
        <v>74</v>
      </c>
      <c r="AY838" t="s">
        <v>74</v>
      </c>
      <c r="AZ838" t="s">
        <v>74</v>
      </c>
      <c r="BA838" t="s">
        <v>74</v>
      </c>
      <c r="BB838">
        <v>633</v>
      </c>
      <c r="BC838">
        <v>635</v>
      </c>
      <c r="BD838" t="s">
        <v>74</v>
      </c>
      <c r="BE838" t="s">
        <v>11094</v>
      </c>
      <c r="BF838" t="str">
        <f>HYPERLINK("http://dx.doi.org/10.1002/1097-4555(200007)31:7&lt;633::AID-JRS620&gt;3.0.CO;2-R","http://dx.doi.org/10.1002/1097-4555(200007)31:7&lt;633::AID-JRS620&gt;3.0.CO;2-R")</f>
        <v>http://dx.doi.org/10.1002/1097-4555(200007)31:7&lt;633::AID-JRS620&gt;3.0.CO;2-R</v>
      </c>
      <c r="BG838" t="s">
        <v>74</v>
      </c>
      <c r="BH838" t="s">
        <v>74</v>
      </c>
      <c r="BI838">
        <v>3</v>
      </c>
      <c r="BJ838" t="s">
        <v>11095</v>
      </c>
      <c r="BK838" t="s">
        <v>94</v>
      </c>
      <c r="BL838" t="s">
        <v>11095</v>
      </c>
      <c r="BM838" t="s">
        <v>11096</v>
      </c>
      <c r="BN838" t="s">
        <v>74</v>
      </c>
      <c r="BO838" t="s">
        <v>74</v>
      </c>
      <c r="BP838" t="s">
        <v>74</v>
      </c>
      <c r="BQ838" t="s">
        <v>74</v>
      </c>
      <c r="BR838" t="s">
        <v>97</v>
      </c>
      <c r="BS838" t="s">
        <v>11097</v>
      </c>
      <c r="BT838" t="str">
        <f>HYPERLINK("https%3A%2F%2Fwww.webofscience.com%2Fwos%2Fwoscc%2Ffull-record%2FWOS:000088796800014","View Full Record in Web of Science")</f>
        <v>View Full Record in Web of Science</v>
      </c>
    </row>
    <row r="839" spans="1:72" x14ac:dyDescent="0.15">
      <c r="A839" t="s">
        <v>72</v>
      </c>
      <c r="B839" t="s">
        <v>11098</v>
      </c>
      <c r="C839" t="s">
        <v>74</v>
      </c>
      <c r="D839" t="s">
        <v>74</v>
      </c>
      <c r="E839" t="s">
        <v>74</v>
      </c>
      <c r="F839" t="s">
        <v>11098</v>
      </c>
      <c r="G839" t="s">
        <v>74</v>
      </c>
      <c r="H839" t="s">
        <v>74</v>
      </c>
      <c r="I839" t="s">
        <v>11099</v>
      </c>
      <c r="J839" t="s">
        <v>11100</v>
      </c>
      <c r="K839" t="s">
        <v>74</v>
      </c>
      <c r="L839" t="s">
        <v>74</v>
      </c>
      <c r="M839" t="s">
        <v>77</v>
      </c>
      <c r="N839" t="s">
        <v>78</v>
      </c>
      <c r="O839" t="s">
        <v>74</v>
      </c>
      <c r="P839" t="s">
        <v>74</v>
      </c>
      <c r="Q839" t="s">
        <v>74</v>
      </c>
      <c r="R839" t="s">
        <v>74</v>
      </c>
      <c r="S839" t="s">
        <v>74</v>
      </c>
      <c r="T839" t="s">
        <v>74</v>
      </c>
      <c r="U839" t="s">
        <v>11101</v>
      </c>
      <c r="V839" t="s">
        <v>11102</v>
      </c>
      <c r="W839" t="s">
        <v>11103</v>
      </c>
      <c r="X839" t="s">
        <v>11104</v>
      </c>
      <c r="Y839" t="s">
        <v>11105</v>
      </c>
      <c r="Z839" t="s">
        <v>74</v>
      </c>
      <c r="AA839" t="s">
        <v>11106</v>
      </c>
      <c r="AB839" t="s">
        <v>11107</v>
      </c>
      <c r="AC839" t="s">
        <v>74</v>
      </c>
      <c r="AD839" t="s">
        <v>74</v>
      </c>
      <c r="AE839" t="s">
        <v>74</v>
      </c>
      <c r="AF839" t="s">
        <v>74</v>
      </c>
      <c r="AG839">
        <v>27</v>
      </c>
      <c r="AH839">
        <v>11</v>
      </c>
      <c r="AI839">
        <v>13</v>
      </c>
      <c r="AJ839">
        <v>0</v>
      </c>
      <c r="AK839">
        <v>12</v>
      </c>
      <c r="AL839" t="s">
        <v>1842</v>
      </c>
      <c r="AM839" t="s">
        <v>1843</v>
      </c>
      <c r="AN839" t="s">
        <v>1844</v>
      </c>
      <c r="AO839" t="s">
        <v>11108</v>
      </c>
      <c r="AP839" t="s">
        <v>74</v>
      </c>
      <c r="AQ839" t="s">
        <v>74</v>
      </c>
      <c r="AR839" t="s">
        <v>11109</v>
      </c>
      <c r="AS839" t="s">
        <v>11110</v>
      </c>
      <c r="AT839" t="s">
        <v>10864</v>
      </c>
      <c r="AU839">
        <v>2000</v>
      </c>
      <c r="AV839">
        <v>57</v>
      </c>
      <c r="AW839">
        <v>13</v>
      </c>
      <c r="AX839" t="s">
        <v>74</v>
      </c>
      <c r="AY839" t="s">
        <v>74</v>
      </c>
      <c r="AZ839" t="s">
        <v>74</v>
      </c>
      <c r="BA839" t="s">
        <v>74</v>
      </c>
      <c r="BB839">
        <v>2135</v>
      </c>
      <c r="BC839">
        <v>2143</v>
      </c>
      <c r="BD839" t="s">
        <v>74</v>
      </c>
      <c r="BE839" t="s">
        <v>11111</v>
      </c>
      <c r="BF839" t="str">
        <f>HYPERLINK("http://dx.doi.org/10.1175/1520-0469(2000)057&lt;2135:OCCDFM&gt;2.0.CO;2","http://dx.doi.org/10.1175/1520-0469(2000)057&lt;2135:OCCDFM&gt;2.0.CO;2")</f>
        <v>http://dx.doi.org/10.1175/1520-0469(2000)057&lt;2135:OCCDFM&gt;2.0.CO;2</v>
      </c>
      <c r="BG839" t="s">
        <v>74</v>
      </c>
      <c r="BH839" t="s">
        <v>74</v>
      </c>
      <c r="BI839">
        <v>9</v>
      </c>
      <c r="BJ839" t="s">
        <v>167</v>
      </c>
      <c r="BK839" t="s">
        <v>94</v>
      </c>
      <c r="BL839" t="s">
        <v>167</v>
      </c>
      <c r="BM839" t="s">
        <v>11112</v>
      </c>
      <c r="BN839" t="s">
        <v>74</v>
      </c>
      <c r="BO839" t="s">
        <v>1850</v>
      </c>
      <c r="BP839" t="s">
        <v>74</v>
      </c>
      <c r="BQ839" t="s">
        <v>74</v>
      </c>
      <c r="BR839" t="s">
        <v>97</v>
      </c>
      <c r="BS839" t="s">
        <v>11113</v>
      </c>
      <c r="BT839" t="str">
        <f>HYPERLINK("https%3A%2F%2Fwww.webofscience.com%2Fwos%2Fwoscc%2Ffull-record%2FWOS:000087902000011","View Full Record in Web of Science")</f>
        <v>View Full Record in Web of Science</v>
      </c>
    </row>
    <row r="840" spans="1:72" x14ac:dyDescent="0.15">
      <c r="A840" t="s">
        <v>72</v>
      </c>
      <c r="B840" t="s">
        <v>11114</v>
      </c>
      <c r="C840" t="s">
        <v>74</v>
      </c>
      <c r="D840" t="s">
        <v>74</v>
      </c>
      <c r="E840" t="s">
        <v>74</v>
      </c>
      <c r="F840" t="s">
        <v>11114</v>
      </c>
      <c r="G840" t="s">
        <v>74</v>
      </c>
      <c r="H840" t="s">
        <v>74</v>
      </c>
      <c r="I840" t="s">
        <v>11115</v>
      </c>
      <c r="J840" t="s">
        <v>11116</v>
      </c>
      <c r="K840" t="s">
        <v>74</v>
      </c>
      <c r="L840" t="s">
        <v>74</v>
      </c>
      <c r="M840" t="s">
        <v>77</v>
      </c>
      <c r="N840" t="s">
        <v>78</v>
      </c>
      <c r="O840" t="s">
        <v>74</v>
      </c>
      <c r="P840" t="s">
        <v>74</v>
      </c>
      <c r="Q840" t="s">
        <v>74</v>
      </c>
      <c r="R840" t="s">
        <v>74</v>
      </c>
      <c r="S840" t="s">
        <v>74</v>
      </c>
      <c r="T840" t="s">
        <v>11117</v>
      </c>
      <c r="U840" t="s">
        <v>11118</v>
      </c>
      <c r="V840" t="s">
        <v>11119</v>
      </c>
      <c r="W840" t="s">
        <v>11120</v>
      </c>
      <c r="X840" t="s">
        <v>11121</v>
      </c>
      <c r="Y840" t="s">
        <v>11122</v>
      </c>
      <c r="Z840" t="s">
        <v>11123</v>
      </c>
      <c r="AA840" t="s">
        <v>11124</v>
      </c>
      <c r="AB840" t="s">
        <v>11125</v>
      </c>
      <c r="AC840" t="s">
        <v>74</v>
      </c>
      <c r="AD840" t="s">
        <v>74</v>
      </c>
      <c r="AE840" t="s">
        <v>74</v>
      </c>
      <c r="AF840" t="s">
        <v>74</v>
      </c>
      <c r="AG840">
        <v>30</v>
      </c>
      <c r="AH840">
        <v>16</v>
      </c>
      <c r="AI840">
        <v>16</v>
      </c>
      <c r="AJ840">
        <v>1</v>
      </c>
      <c r="AK840">
        <v>10</v>
      </c>
      <c r="AL840" t="s">
        <v>11126</v>
      </c>
      <c r="AM840" t="s">
        <v>11127</v>
      </c>
      <c r="AN840" t="s">
        <v>11128</v>
      </c>
      <c r="AO840" t="s">
        <v>11129</v>
      </c>
      <c r="AP840" t="s">
        <v>11130</v>
      </c>
      <c r="AQ840" t="s">
        <v>74</v>
      </c>
      <c r="AR840" t="s">
        <v>11131</v>
      </c>
      <c r="AS840" t="s">
        <v>11132</v>
      </c>
      <c r="AT840" t="s">
        <v>10673</v>
      </c>
      <c r="AU840">
        <v>2000</v>
      </c>
      <c r="AV840">
        <v>11</v>
      </c>
      <c r="AW840">
        <v>4</v>
      </c>
      <c r="AX840" t="s">
        <v>74</v>
      </c>
      <c r="AY840" t="s">
        <v>74</v>
      </c>
      <c r="AZ840" t="s">
        <v>74</v>
      </c>
      <c r="BA840" t="s">
        <v>74</v>
      </c>
      <c r="BB840">
        <v>365</v>
      </c>
      <c r="BC840">
        <v>370</v>
      </c>
      <c r="BD840" t="s">
        <v>74</v>
      </c>
      <c r="BE840" t="s">
        <v>11133</v>
      </c>
      <c r="BF840" t="str">
        <f>HYPERLINK("http://dx.doi.org/10.1590/S0103-50532000000400007","http://dx.doi.org/10.1590/S0103-50532000000400007")</f>
        <v>http://dx.doi.org/10.1590/S0103-50532000000400007</v>
      </c>
      <c r="BG840" t="s">
        <v>74</v>
      </c>
      <c r="BH840" t="s">
        <v>74</v>
      </c>
      <c r="BI840">
        <v>6</v>
      </c>
      <c r="BJ840" t="s">
        <v>4550</v>
      </c>
      <c r="BK840" t="s">
        <v>94</v>
      </c>
      <c r="BL840" t="s">
        <v>934</v>
      </c>
      <c r="BM840" t="s">
        <v>11134</v>
      </c>
      <c r="BN840" t="s">
        <v>74</v>
      </c>
      <c r="BO840" t="s">
        <v>8504</v>
      </c>
      <c r="BP840" t="s">
        <v>74</v>
      </c>
      <c r="BQ840" t="s">
        <v>74</v>
      </c>
      <c r="BR840" t="s">
        <v>97</v>
      </c>
      <c r="BS840" t="s">
        <v>11135</v>
      </c>
      <c r="BT840" t="str">
        <f>HYPERLINK("https%3A%2F%2Fwww.webofscience.com%2Fwos%2Fwoscc%2Ffull-record%2FWOS:000089337600007","View Full Record in Web of Science")</f>
        <v>View Full Record in Web of Science</v>
      </c>
    </row>
    <row r="841" spans="1:72" x14ac:dyDescent="0.15">
      <c r="A841" t="s">
        <v>72</v>
      </c>
      <c r="B841" t="s">
        <v>11136</v>
      </c>
      <c r="C841" t="s">
        <v>74</v>
      </c>
      <c r="D841" t="s">
        <v>74</v>
      </c>
      <c r="E841" t="s">
        <v>74</v>
      </c>
      <c r="F841" t="s">
        <v>11136</v>
      </c>
      <c r="G841" t="s">
        <v>74</v>
      </c>
      <c r="H841" t="s">
        <v>74</v>
      </c>
      <c r="I841" t="s">
        <v>11137</v>
      </c>
      <c r="J841" t="s">
        <v>11138</v>
      </c>
      <c r="K841" t="s">
        <v>74</v>
      </c>
      <c r="L841" t="s">
        <v>74</v>
      </c>
      <c r="M841" t="s">
        <v>77</v>
      </c>
      <c r="N841" t="s">
        <v>78</v>
      </c>
      <c r="O841" t="s">
        <v>74</v>
      </c>
      <c r="P841" t="s">
        <v>74</v>
      </c>
      <c r="Q841" t="s">
        <v>74</v>
      </c>
      <c r="R841" t="s">
        <v>74</v>
      </c>
      <c r="S841" t="s">
        <v>74</v>
      </c>
      <c r="T841" t="s">
        <v>11139</v>
      </c>
      <c r="U841" t="s">
        <v>74</v>
      </c>
      <c r="V841" t="s">
        <v>11140</v>
      </c>
      <c r="W841" t="s">
        <v>11141</v>
      </c>
      <c r="X841" t="s">
        <v>11142</v>
      </c>
      <c r="Y841" t="s">
        <v>11143</v>
      </c>
      <c r="Z841" t="s">
        <v>74</v>
      </c>
      <c r="AA841" t="s">
        <v>11144</v>
      </c>
      <c r="AB841" t="s">
        <v>74</v>
      </c>
      <c r="AC841" t="s">
        <v>74</v>
      </c>
      <c r="AD841" t="s">
        <v>74</v>
      </c>
      <c r="AE841" t="s">
        <v>74</v>
      </c>
      <c r="AF841" t="s">
        <v>74</v>
      </c>
      <c r="AG841">
        <v>8</v>
      </c>
      <c r="AH841">
        <v>9</v>
      </c>
      <c r="AI841">
        <v>9</v>
      </c>
      <c r="AJ841">
        <v>0</v>
      </c>
      <c r="AK841">
        <v>2</v>
      </c>
      <c r="AL841" t="s">
        <v>11145</v>
      </c>
      <c r="AM841" t="s">
        <v>8371</v>
      </c>
      <c r="AN841" t="s">
        <v>11146</v>
      </c>
      <c r="AO841" t="s">
        <v>11147</v>
      </c>
      <c r="AP841" t="s">
        <v>74</v>
      </c>
      <c r="AQ841" t="s">
        <v>74</v>
      </c>
      <c r="AR841" t="s">
        <v>11148</v>
      </c>
      <c r="AS841" t="s">
        <v>11149</v>
      </c>
      <c r="AT841" t="s">
        <v>10688</v>
      </c>
      <c r="AU841">
        <v>2000</v>
      </c>
      <c r="AV841">
        <v>56</v>
      </c>
      <c r="AW841">
        <v>1</v>
      </c>
      <c r="AX841" t="s">
        <v>74</v>
      </c>
      <c r="AY841" t="s">
        <v>74</v>
      </c>
      <c r="AZ841" t="s">
        <v>74</v>
      </c>
      <c r="BA841" t="s">
        <v>74</v>
      </c>
      <c r="BB841">
        <v>39</v>
      </c>
      <c r="BC841">
        <v>45</v>
      </c>
      <c r="BD841" t="s">
        <v>74</v>
      </c>
      <c r="BE841" t="s">
        <v>74</v>
      </c>
      <c r="BF841" t="s">
        <v>74</v>
      </c>
      <c r="BG841" t="s">
        <v>74</v>
      </c>
      <c r="BH841" t="s">
        <v>74</v>
      </c>
      <c r="BI841">
        <v>7</v>
      </c>
      <c r="BJ841" t="s">
        <v>595</v>
      </c>
      <c r="BK841" t="s">
        <v>94</v>
      </c>
      <c r="BL841" t="s">
        <v>597</v>
      </c>
      <c r="BM841" t="s">
        <v>11150</v>
      </c>
      <c r="BN841" t="s">
        <v>74</v>
      </c>
      <c r="BO841" t="s">
        <v>74</v>
      </c>
      <c r="BP841" t="s">
        <v>74</v>
      </c>
      <c r="BQ841" t="s">
        <v>74</v>
      </c>
      <c r="BR841" t="s">
        <v>97</v>
      </c>
      <c r="BS841" t="s">
        <v>11151</v>
      </c>
      <c r="BT841" t="str">
        <f>HYPERLINK("https%3A%2F%2Fwww.webofscience.com%2Fwos%2Fwoscc%2Ffull-record%2FWOS:000088010900004","View Full Record in Web of Science")</f>
        <v>View Full Record in Web of Science</v>
      </c>
    </row>
    <row r="842" spans="1:72" x14ac:dyDescent="0.15">
      <c r="A842" t="s">
        <v>72</v>
      </c>
      <c r="B842" t="s">
        <v>11152</v>
      </c>
      <c r="C842" t="s">
        <v>74</v>
      </c>
      <c r="D842" t="s">
        <v>74</v>
      </c>
      <c r="E842" t="s">
        <v>74</v>
      </c>
      <c r="F842" t="s">
        <v>11152</v>
      </c>
      <c r="G842" t="s">
        <v>74</v>
      </c>
      <c r="H842" t="s">
        <v>74</v>
      </c>
      <c r="I842" t="s">
        <v>11153</v>
      </c>
      <c r="J842" t="s">
        <v>8308</v>
      </c>
      <c r="K842" t="s">
        <v>74</v>
      </c>
      <c r="L842" t="s">
        <v>74</v>
      </c>
      <c r="M842" t="s">
        <v>77</v>
      </c>
      <c r="N842" t="s">
        <v>5419</v>
      </c>
      <c r="O842" t="s">
        <v>74</v>
      </c>
      <c r="P842" t="s">
        <v>74</v>
      </c>
      <c r="Q842" t="s">
        <v>74</v>
      </c>
      <c r="R842" t="s">
        <v>74</v>
      </c>
      <c r="S842" t="s">
        <v>74</v>
      </c>
      <c r="T842" t="s">
        <v>74</v>
      </c>
      <c r="U842" t="s">
        <v>74</v>
      </c>
      <c r="V842" t="s">
        <v>74</v>
      </c>
      <c r="W842" t="s">
        <v>11154</v>
      </c>
      <c r="X842" t="s">
        <v>11155</v>
      </c>
      <c r="Y842" t="s">
        <v>11156</v>
      </c>
      <c r="Z842" t="s">
        <v>74</v>
      </c>
      <c r="AA842" t="s">
        <v>74</v>
      </c>
      <c r="AB842" t="s">
        <v>74</v>
      </c>
      <c r="AC842" t="s">
        <v>74</v>
      </c>
      <c r="AD842" t="s">
        <v>74</v>
      </c>
      <c r="AE842" t="s">
        <v>74</v>
      </c>
      <c r="AF842" t="s">
        <v>74</v>
      </c>
      <c r="AG842">
        <v>1</v>
      </c>
      <c r="AH842">
        <v>0</v>
      </c>
      <c r="AI842">
        <v>0</v>
      </c>
      <c r="AJ842">
        <v>0</v>
      </c>
      <c r="AK842">
        <v>0</v>
      </c>
      <c r="AL842" t="s">
        <v>8312</v>
      </c>
      <c r="AM842" t="s">
        <v>160</v>
      </c>
      <c r="AN842" t="s">
        <v>8313</v>
      </c>
      <c r="AO842" t="s">
        <v>8314</v>
      </c>
      <c r="AP842" t="s">
        <v>74</v>
      </c>
      <c r="AQ842" t="s">
        <v>74</v>
      </c>
      <c r="AR842" t="s">
        <v>8315</v>
      </c>
      <c r="AS842" t="s">
        <v>8316</v>
      </c>
      <c r="AT842" t="s">
        <v>10688</v>
      </c>
      <c r="AU842">
        <v>2000</v>
      </c>
      <c r="AV842">
        <v>125</v>
      </c>
      <c r="AW842">
        <v>12</v>
      </c>
      <c r="AX842" t="s">
        <v>74</v>
      </c>
      <c r="AY842" t="s">
        <v>74</v>
      </c>
      <c r="AZ842" t="s">
        <v>74</v>
      </c>
      <c r="BA842" t="s">
        <v>74</v>
      </c>
      <c r="BB842">
        <v>112</v>
      </c>
      <c r="BC842">
        <v>112</v>
      </c>
      <c r="BD842" t="s">
        <v>74</v>
      </c>
      <c r="BE842" t="s">
        <v>74</v>
      </c>
      <c r="BF842" t="s">
        <v>74</v>
      </c>
      <c r="BG842" t="s">
        <v>74</v>
      </c>
      <c r="BH842" t="s">
        <v>74</v>
      </c>
      <c r="BI842">
        <v>1</v>
      </c>
      <c r="BJ842" t="s">
        <v>8317</v>
      </c>
      <c r="BK842" t="s">
        <v>657</v>
      </c>
      <c r="BL842" t="s">
        <v>8317</v>
      </c>
      <c r="BM842" t="s">
        <v>11157</v>
      </c>
      <c r="BN842" t="s">
        <v>74</v>
      </c>
      <c r="BO842" t="s">
        <v>74</v>
      </c>
      <c r="BP842" t="s">
        <v>74</v>
      </c>
      <c r="BQ842" t="s">
        <v>74</v>
      </c>
      <c r="BR842" t="s">
        <v>97</v>
      </c>
      <c r="BS842" t="s">
        <v>11158</v>
      </c>
      <c r="BT842" t="str">
        <f>HYPERLINK("https%3A%2F%2Fwww.webofscience.com%2Fwos%2Fwoscc%2Ffull-record%2FWOS:000088205100213","View Full Record in Web of Science")</f>
        <v>View Full Record in Web of Science</v>
      </c>
    </row>
    <row r="843" spans="1:72" x14ac:dyDescent="0.15">
      <c r="A843" t="s">
        <v>72</v>
      </c>
      <c r="B843" t="s">
        <v>11159</v>
      </c>
      <c r="C843" t="s">
        <v>74</v>
      </c>
      <c r="D843" t="s">
        <v>74</v>
      </c>
      <c r="E843" t="s">
        <v>74</v>
      </c>
      <c r="F843" t="s">
        <v>11159</v>
      </c>
      <c r="G843" t="s">
        <v>74</v>
      </c>
      <c r="H843" t="s">
        <v>74</v>
      </c>
      <c r="I843" t="s">
        <v>11160</v>
      </c>
      <c r="J843" t="s">
        <v>2781</v>
      </c>
      <c r="K843" t="s">
        <v>74</v>
      </c>
      <c r="L843" t="s">
        <v>74</v>
      </c>
      <c r="M843" t="s">
        <v>77</v>
      </c>
      <c r="N843" t="s">
        <v>78</v>
      </c>
      <c r="O843" t="s">
        <v>74</v>
      </c>
      <c r="P843" t="s">
        <v>74</v>
      </c>
      <c r="Q843" t="s">
        <v>74</v>
      </c>
      <c r="R843" t="s">
        <v>74</v>
      </c>
      <c r="S843" t="s">
        <v>74</v>
      </c>
      <c r="T843" t="s">
        <v>11161</v>
      </c>
      <c r="U843" t="s">
        <v>11162</v>
      </c>
      <c r="V843" t="s">
        <v>11163</v>
      </c>
      <c r="W843" t="s">
        <v>11164</v>
      </c>
      <c r="X843" t="s">
        <v>11165</v>
      </c>
      <c r="Y843" t="s">
        <v>11166</v>
      </c>
      <c r="Z843" t="s">
        <v>11167</v>
      </c>
      <c r="AA843" t="s">
        <v>74</v>
      </c>
      <c r="AB843" t="s">
        <v>74</v>
      </c>
      <c r="AC843" t="s">
        <v>74</v>
      </c>
      <c r="AD843" t="s">
        <v>74</v>
      </c>
      <c r="AE843" t="s">
        <v>74</v>
      </c>
      <c r="AF843" t="s">
        <v>74</v>
      </c>
      <c r="AG843">
        <v>88</v>
      </c>
      <c r="AH843">
        <v>48</v>
      </c>
      <c r="AI843">
        <v>57</v>
      </c>
      <c r="AJ843">
        <v>2</v>
      </c>
      <c r="AK843">
        <v>13</v>
      </c>
      <c r="AL843" t="s">
        <v>1823</v>
      </c>
      <c r="AM843" t="s">
        <v>1121</v>
      </c>
      <c r="AN843" t="s">
        <v>1824</v>
      </c>
      <c r="AO843" t="s">
        <v>2790</v>
      </c>
      <c r="AP843" t="s">
        <v>2791</v>
      </c>
      <c r="AQ843" t="s">
        <v>74</v>
      </c>
      <c r="AR843" t="s">
        <v>2792</v>
      </c>
      <c r="AS843" t="s">
        <v>2793</v>
      </c>
      <c r="AT843" t="s">
        <v>10688</v>
      </c>
      <c r="AU843">
        <v>2000</v>
      </c>
      <c r="AV843">
        <v>71</v>
      </c>
      <c r="AW843" t="s">
        <v>870</v>
      </c>
      <c r="AX843" t="s">
        <v>74</v>
      </c>
      <c r="AY843" t="s">
        <v>74</v>
      </c>
      <c r="AZ843" t="s">
        <v>74</v>
      </c>
      <c r="BA843" t="s">
        <v>74</v>
      </c>
      <c r="BB843">
        <v>69</v>
      </c>
      <c r="BC843">
        <v>82</v>
      </c>
      <c r="BD843" t="s">
        <v>74</v>
      </c>
      <c r="BE843" t="s">
        <v>11168</v>
      </c>
      <c r="BF843" t="str">
        <f>HYPERLINK("http://dx.doi.org/10.1016/S0304-4203(00)00041-4","http://dx.doi.org/10.1016/S0304-4203(00)00041-4")</f>
        <v>http://dx.doi.org/10.1016/S0304-4203(00)00041-4</v>
      </c>
      <c r="BG843" t="s">
        <v>74</v>
      </c>
      <c r="BH843" t="s">
        <v>74</v>
      </c>
      <c r="BI843">
        <v>14</v>
      </c>
      <c r="BJ843" t="s">
        <v>2795</v>
      </c>
      <c r="BK843" t="s">
        <v>94</v>
      </c>
      <c r="BL843" t="s">
        <v>2796</v>
      </c>
      <c r="BM843" t="s">
        <v>11169</v>
      </c>
      <c r="BN843" t="s">
        <v>74</v>
      </c>
      <c r="BO843" t="s">
        <v>74</v>
      </c>
      <c r="BP843" t="s">
        <v>74</v>
      </c>
      <c r="BQ843" t="s">
        <v>74</v>
      </c>
      <c r="BR843" t="s">
        <v>97</v>
      </c>
      <c r="BS843" t="s">
        <v>11170</v>
      </c>
      <c r="BT843" t="str">
        <f>HYPERLINK("https%3A%2F%2Fwww.webofscience.com%2Fwos%2Fwoscc%2Ffull-record%2FWOS:000088330900004","View Full Record in Web of Science")</f>
        <v>View Full Record in Web of Science</v>
      </c>
    </row>
    <row r="844" spans="1:72" x14ac:dyDescent="0.15">
      <c r="A844" t="s">
        <v>72</v>
      </c>
      <c r="B844" t="s">
        <v>11171</v>
      </c>
      <c r="C844" t="s">
        <v>74</v>
      </c>
      <c r="D844" t="s">
        <v>74</v>
      </c>
      <c r="E844" t="s">
        <v>74</v>
      </c>
      <c r="F844" t="s">
        <v>11171</v>
      </c>
      <c r="G844" t="s">
        <v>74</v>
      </c>
      <c r="H844" t="s">
        <v>74</v>
      </c>
      <c r="I844" t="s">
        <v>11172</v>
      </c>
      <c r="J844" t="s">
        <v>11173</v>
      </c>
      <c r="K844" t="s">
        <v>74</v>
      </c>
      <c r="L844" t="s">
        <v>74</v>
      </c>
      <c r="M844" t="s">
        <v>77</v>
      </c>
      <c r="N844" t="s">
        <v>78</v>
      </c>
      <c r="O844" t="s">
        <v>74</v>
      </c>
      <c r="P844" t="s">
        <v>74</v>
      </c>
      <c r="Q844" t="s">
        <v>74</v>
      </c>
      <c r="R844" t="s">
        <v>74</v>
      </c>
      <c r="S844" t="s">
        <v>74</v>
      </c>
      <c r="T844" t="s">
        <v>11174</v>
      </c>
      <c r="U844" t="s">
        <v>11175</v>
      </c>
      <c r="V844" t="s">
        <v>11176</v>
      </c>
      <c r="W844" t="s">
        <v>11177</v>
      </c>
      <c r="X844" t="s">
        <v>397</v>
      </c>
      <c r="Y844" t="s">
        <v>11178</v>
      </c>
      <c r="Z844" t="s">
        <v>74</v>
      </c>
      <c r="AA844" t="s">
        <v>74</v>
      </c>
      <c r="AB844" t="s">
        <v>74</v>
      </c>
      <c r="AC844" t="s">
        <v>74</v>
      </c>
      <c r="AD844" t="s">
        <v>74</v>
      </c>
      <c r="AE844" t="s">
        <v>74</v>
      </c>
      <c r="AF844" t="s">
        <v>74</v>
      </c>
      <c r="AG844">
        <v>38</v>
      </c>
      <c r="AH844">
        <v>14</v>
      </c>
      <c r="AI844">
        <v>16</v>
      </c>
      <c r="AJ844">
        <v>0</v>
      </c>
      <c r="AK844">
        <v>18</v>
      </c>
      <c r="AL844" t="s">
        <v>11179</v>
      </c>
      <c r="AM844" t="s">
        <v>1567</v>
      </c>
      <c r="AN844" t="s">
        <v>11180</v>
      </c>
      <c r="AO844" t="s">
        <v>11181</v>
      </c>
      <c r="AP844" t="s">
        <v>74</v>
      </c>
      <c r="AQ844" t="s">
        <v>74</v>
      </c>
      <c r="AR844" t="s">
        <v>11182</v>
      </c>
      <c r="AS844" t="s">
        <v>11183</v>
      </c>
      <c r="AT844" t="s">
        <v>11184</v>
      </c>
      <c r="AU844">
        <v>2000</v>
      </c>
      <c r="AV844">
        <v>18</v>
      </c>
      <c r="AW844">
        <v>3</v>
      </c>
      <c r="AX844" t="s">
        <v>74</v>
      </c>
      <c r="AY844" t="s">
        <v>74</v>
      </c>
      <c r="AZ844" t="s">
        <v>74</v>
      </c>
      <c r="BA844" t="s">
        <v>74</v>
      </c>
      <c r="BB844">
        <v>189</v>
      </c>
      <c r="BC844">
        <v>199</v>
      </c>
      <c r="BD844" t="s">
        <v>74</v>
      </c>
      <c r="BE844" t="s">
        <v>11185</v>
      </c>
      <c r="BF844" t="str">
        <f>HYPERLINK("http://dx.doi.org/10.1080/10641190009353787","http://dx.doi.org/10.1080/10641190009353787")</f>
        <v>http://dx.doi.org/10.1080/10641190009353787</v>
      </c>
      <c r="BG844" t="s">
        <v>74</v>
      </c>
      <c r="BH844" t="s">
        <v>74</v>
      </c>
      <c r="BI844">
        <v>11</v>
      </c>
      <c r="BJ844" t="s">
        <v>11186</v>
      </c>
      <c r="BK844" t="s">
        <v>94</v>
      </c>
      <c r="BL844" t="s">
        <v>11187</v>
      </c>
      <c r="BM844" t="s">
        <v>11188</v>
      </c>
      <c r="BN844" t="s">
        <v>74</v>
      </c>
      <c r="BO844" t="s">
        <v>74</v>
      </c>
      <c r="BP844" t="s">
        <v>74</v>
      </c>
      <c r="BQ844" t="s">
        <v>74</v>
      </c>
      <c r="BR844" t="s">
        <v>97</v>
      </c>
      <c r="BS844" t="s">
        <v>11189</v>
      </c>
      <c r="BT844" t="str">
        <f>HYPERLINK("https%3A%2F%2Fwww.webofscience.com%2Fwos%2Fwoscc%2Ffull-record%2FWOS:000089715200002","View Full Record in Web of Science")</f>
        <v>View Full Record in Web of Science</v>
      </c>
    </row>
    <row r="845" spans="1:72" x14ac:dyDescent="0.15">
      <c r="A845" t="s">
        <v>72</v>
      </c>
      <c r="B845" t="s">
        <v>11190</v>
      </c>
      <c r="C845" t="s">
        <v>74</v>
      </c>
      <c r="D845" t="s">
        <v>74</v>
      </c>
      <c r="E845" t="s">
        <v>74</v>
      </c>
      <c r="F845" t="s">
        <v>11190</v>
      </c>
      <c r="G845" t="s">
        <v>74</v>
      </c>
      <c r="H845" t="s">
        <v>74</v>
      </c>
      <c r="I845" t="s">
        <v>11191</v>
      </c>
      <c r="J845" t="s">
        <v>3284</v>
      </c>
      <c r="K845" t="s">
        <v>74</v>
      </c>
      <c r="L845" t="s">
        <v>74</v>
      </c>
      <c r="M845" t="s">
        <v>77</v>
      </c>
      <c r="N845" t="s">
        <v>78</v>
      </c>
      <c r="O845" t="s">
        <v>74</v>
      </c>
      <c r="P845" t="s">
        <v>74</v>
      </c>
      <c r="Q845" t="s">
        <v>74</v>
      </c>
      <c r="R845" t="s">
        <v>74</v>
      </c>
      <c r="S845" t="s">
        <v>74</v>
      </c>
      <c r="T845" t="s">
        <v>11192</v>
      </c>
      <c r="U845" t="s">
        <v>11193</v>
      </c>
      <c r="V845" t="s">
        <v>11194</v>
      </c>
      <c r="W845" t="s">
        <v>11195</v>
      </c>
      <c r="X845" t="s">
        <v>11196</v>
      </c>
      <c r="Y845" t="s">
        <v>11197</v>
      </c>
      <c r="Z845" t="s">
        <v>74</v>
      </c>
      <c r="AA845" t="s">
        <v>74</v>
      </c>
      <c r="AB845" t="s">
        <v>74</v>
      </c>
      <c r="AC845" t="s">
        <v>74</v>
      </c>
      <c r="AD845" t="s">
        <v>74</v>
      </c>
      <c r="AE845" t="s">
        <v>74</v>
      </c>
      <c r="AF845" t="s">
        <v>74</v>
      </c>
      <c r="AG845">
        <v>27</v>
      </c>
      <c r="AH845">
        <v>13</v>
      </c>
      <c r="AI845">
        <v>15</v>
      </c>
      <c r="AJ845">
        <v>0</v>
      </c>
      <c r="AK845">
        <v>2</v>
      </c>
      <c r="AL845" t="s">
        <v>11198</v>
      </c>
      <c r="AM845" t="s">
        <v>5031</v>
      </c>
      <c r="AN845" t="s">
        <v>5032</v>
      </c>
      <c r="AO845" t="s">
        <v>3293</v>
      </c>
      <c r="AP845" t="s">
        <v>74</v>
      </c>
      <c r="AQ845" t="s">
        <v>74</v>
      </c>
      <c r="AR845" t="s">
        <v>3295</v>
      </c>
      <c r="AS845" t="s">
        <v>3296</v>
      </c>
      <c r="AT845" t="s">
        <v>10688</v>
      </c>
      <c r="AU845">
        <v>2000</v>
      </c>
      <c r="AV845">
        <v>16</v>
      </c>
      <c r="AW845">
        <v>3</v>
      </c>
      <c r="AX845" t="s">
        <v>74</v>
      </c>
      <c r="AY845" t="s">
        <v>74</v>
      </c>
      <c r="AZ845" t="s">
        <v>74</v>
      </c>
      <c r="BA845" t="s">
        <v>74</v>
      </c>
      <c r="BB845">
        <v>559</v>
      </c>
      <c r="BC845">
        <v>569</v>
      </c>
      <c r="BD845" t="s">
        <v>74</v>
      </c>
      <c r="BE845" t="s">
        <v>11199</v>
      </c>
      <c r="BF845" t="str">
        <f>HYPERLINK("http://dx.doi.org/10.1111/j.1748-7692.2000.tb00951.x","http://dx.doi.org/10.1111/j.1748-7692.2000.tb00951.x")</f>
        <v>http://dx.doi.org/10.1111/j.1748-7692.2000.tb00951.x</v>
      </c>
      <c r="BG845" t="s">
        <v>74</v>
      </c>
      <c r="BH845" t="s">
        <v>74</v>
      </c>
      <c r="BI845">
        <v>11</v>
      </c>
      <c r="BJ845" t="s">
        <v>3298</v>
      </c>
      <c r="BK845" t="s">
        <v>94</v>
      </c>
      <c r="BL845" t="s">
        <v>3298</v>
      </c>
      <c r="BM845" t="s">
        <v>11200</v>
      </c>
      <c r="BN845" t="s">
        <v>74</v>
      </c>
      <c r="BO845" t="s">
        <v>74</v>
      </c>
      <c r="BP845" t="s">
        <v>74</v>
      </c>
      <c r="BQ845" t="s">
        <v>74</v>
      </c>
      <c r="BR845" t="s">
        <v>97</v>
      </c>
      <c r="BS845" t="s">
        <v>11201</v>
      </c>
      <c r="BT845" t="str">
        <f>HYPERLINK("https%3A%2F%2Fwww.webofscience.com%2Fwos%2Fwoscc%2Ffull-record%2FWOS:000088108100004","View Full Record in Web of Science")</f>
        <v>View Full Record in Web of Science</v>
      </c>
    </row>
    <row r="846" spans="1:72" x14ac:dyDescent="0.15">
      <c r="A846" t="s">
        <v>72</v>
      </c>
      <c r="B846" t="s">
        <v>11202</v>
      </c>
      <c r="C846" t="s">
        <v>74</v>
      </c>
      <c r="D846" t="s">
        <v>74</v>
      </c>
      <c r="E846" t="s">
        <v>74</v>
      </c>
      <c r="F846" t="s">
        <v>11202</v>
      </c>
      <c r="G846" t="s">
        <v>74</v>
      </c>
      <c r="H846" t="s">
        <v>74</v>
      </c>
      <c r="I846" t="s">
        <v>11203</v>
      </c>
      <c r="J846" t="s">
        <v>3320</v>
      </c>
      <c r="K846" t="s">
        <v>74</v>
      </c>
      <c r="L846" t="s">
        <v>74</v>
      </c>
      <c r="M846" t="s">
        <v>77</v>
      </c>
      <c r="N846" t="s">
        <v>78</v>
      </c>
      <c r="O846" t="s">
        <v>74</v>
      </c>
      <c r="P846" t="s">
        <v>74</v>
      </c>
      <c r="Q846" t="s">
        <v>74</v>
      </c>
      <c r="R846" t="s">
        <v>74</v>
      </c>
      <c r="S846" t="s">
        <v>74</v>
      </c>
      <c r="T846" t="s">
        <v>74</v>
      </c>
      <c r="U846" t="s">
        <v>11204</v>
      </c>
      <c r="V846" t="s">
        <v>11205</v>
      </c>
      <c r="W846" t="s">
        <v>11206</v>
      </c>
      <c r="X846" t="s">
        <v>11207</v>
      </c>
      <c r="Y846" t="s">
        <v>11208</v>
      </c>
      <c r="Z846" t="s">
        <v>11209</v>
      </c>
      <c r="AA846" t="s">
        <v>74</v>
      </c>
      <c r="AB846" t="s">
        <v>74</v>
      </c>
      <c r="AC846" t="s">
        <v>74</v>
      </c>
      <c r="AD846" t="s">
        <v>74</v>
      </c>
      <c r="AE846" t="s">
        <v>74</v>
      </c>
      <c r="AF846" t="s">
        <v>74</v>
      </c>
      <c r="AG846">
        <v>62</v>
      </c>
      <c r="AH846">
        <v>149</v>
      </c>
      <c r="AI846">
        <v>150</v>
      </c>
      <c r="AJ846">
        <v>0</v>
      </c>
      <c r="AK846">
        <v>22</v>
      </c>
      <c r="AL846" t="s">
        <v>3292</v>
      </c>
      <c r="AM846" t="s">
        <v>3832</v>
      </c>
      <c r="AN846" t="s">
        <v>3833</v>
      </c>
      <c r="AO846" t="s">
        <v>9206</v>
      </c>
      <c r="AP846" t="s">
        <v>74</v>
      </c>
      <c r="AQ846" t="s">
        <v>74</v>
      </c>
      <c r="AR846" t="s">
        <v>3332</v>
      </c>
      <c r="AS846" t="s">
        <v>3333</v>
      </c>
      <c r="AT846" t="s">
        <v>10688</v>
      </c>
      <c r="AU846">
        <v>2000</v>
      </c>
      <c r="AV846">
        <v>35</v>
      </c>
      <c r="AW846">
        <v>4</v>
      </c>
      <c r="AX846" t="s">
        <v>74</v>
      </c>
      <c r="AY846" t="s">
        <v>74</v>
      </c>
      <c r="AZ846" t="s">
        <v>74</v>
      </c>
      <c r="BA846" t="s">
        <v>74</v>
      </c>
      <c r="BB846">
        <v>651</v>
      </c>
      <c r="BC846">
        <v>666</v>
      </c>
      <c r="BD846" t="s">
        <v>74</v>
      </c>
      <c r="BE846" t="s">
        <v>11210</v>
      </c>
      <c r="BF846" t="str">
        <f>HYPERLINK("http://dx.doi.org/10.1111/j.1945-5100.2000.tb01450.x","http://dx.doi.org/10.1111/j.1945-5100.2000.tb01450.x")</f>
        <v>http://dx.doi.org/10.1111/j.1945-5100.2000.tb01450.x</v>
      </c>
      <c r="BG846" t="s">
        <v>74</v>
      </c>
      <c r="BH846" t="s">
        <v>74</v>
      </c>
      <c r="BI846">
        <v>16</v>
      </c>
      <c r="BJ846" t="s">
        <v>953</v>
      </c>
      <c r="BK846" t="s">
        <v>94</v>
      </c>
      <c r="BL846" t="s">
        <v>953</v>
      </c>
      <c r="BM846" t="s">
        <v>11211</v>
      </c>
      <c r="BN846" t="s">
        <v>74</v>
      </c>
      <c r="BO846" t="s">
        <v>74</v>
      </c>
      <c r="BP846" t="s">
        <v>74</v>
      </c>
      <c r="BQ846" t="s">
        <v>74</v>
      </c>
      <c r="BR846" t="s">
        <v>97</v>
      </c>
      <c r="BS846" t="s">
        <v>11212</v>
      </c>
      <c r="BT846" t="str">
        <f>HYPERLINK("https%3A%2F%2Fwww.webofscience.com%2Fwos%2Fwoscc%2Ffull-record%2FWOS:000088617700005","View Full Record in Web of Science")</f>
        <v>View Full Record in Web of Science</v>
      </c>
    </row>
    <row r="847" spans="1:72" x14ac:dyDescent="0.15">
      <c r="A847" t="s">
        <v>72</v>
      </c>
      <c r="B847" t="s">
        <v>11213</v>
      </c>
      <c r="C847" t="s">
        <v>74</v>
      </c>
      <c r="D847" t="s">
        <v>74</v>
      </c>
      <c r="E847" t="s">
        <v>74</v>
      </c>
      <c r="F847" t="s">
        <v>11213</v>
      </c>
      <c r="G847" t="s">
        <v>74</v>
      </c>
      <c r="H847" t="s">
        <v>74</v>
      </c>
      <c r="I847" t="s">
        <v>11214</v>
      </c>
      <c r="J847" t="s">
        <v>3320</v>
      </c>
      <c r="K847" t="s">
        <v>74</v>
      </c>
      <c r="L847" t="s">
        <v>74</v>
      </c>
      <c r="M847" t="s">
        <v>77</v>
      </c>
      <c r="N847" t="s">
        <v>78</v>
      </c>
      <c r="O847" t="s">
        <v>74</v>
      </c>
      <c r="P847" t="s">
        <v>74</v>
      </c>
      <c r="Q847" t="s">
        <v>74</v>
      </c>
      <c r="R847" t="s">
        <v>74</v>
      </c>
      <c r="S847" t="s">
        <v>74</v>
      </c>
      <c r="T847" t="s">
        <v>74</v>
      </c>
      <c r="U847" t="s">
        <v>11215</v>
      </c>
      <c r="V847" t="s">
        <v>11216</v>
      </c>
      <c r="W847" t="s">
        <v>11217</v>
      </c>
      <c r="X847" t="s">
        <v>11218</v>
      </c>
      <c r="Y847" t="s">
        <v>11219</v>
      </c>
      <c r="Z847" t="s">
        <v>74</v>
      </c>
      <c r="AA847" t="s">
        <v>74</v>
      </c>
      <c r="AB847" t="s">
        <v>74</v>
      </c>
      <c r="AC847" t="s">
        <v>74</v>
      </c>
      <c r="AD847" t="s">
        <v>74</v>
      </c>
      <c r="AE847" t="s">
        <v>74</v>
      </c>
      <c r="AF847" t="s">
        <v>74</v>
      </c>
      <c r="AG847">
        <v>31</v>
      </c>
      <c r="AH847">
        <v>8</v>
      </c>
      <c r="AI847">
        <v>9</v>
      </c>
      <c r="AJ847">
        <v>0</v>
      </c>
      <c r="AK847">
        <v>1</v>
      </c>
      <c r="AL847" t="s">
        <v>3328</v>
      </c>
      <c r="AM847" t="s">
        <v>3329</v>
      </c>
      <c r="AN847" t="s">
        <v>3330</v>
      </c>
      <c r="AO847" t="s">
        <v>3331</v>
      </c>
      <c r="AP847" t="s">
        <v>74</v>
      </c>
      <c r="AQ847" t="s">
        <v>74</v>
      </c>
      <c r="AR847" t="s">
        <v>3332</v>
      </c>
      <c r="AS847" t="s">
        <v>3333</v>
      </c>
      <c r="AT847" t="s">
        <v>10688</v>
      </c>
      <c r="AU847">
        <v>2000</v>
      </c>
      <c r="AV847">
        <v>35</v>
      </c>
      <c r="AW847">
        <v>4</v>
      </c>
      <c r="AX847" t="s">
        <v>74</v>
      </c>
      <c r="AY847" t="s">
        <v>74</v>
      </c>
      <c r="AZ847" t="s">
        <v>74</v>
      </c>
      <c r="BA847" t="s">
        <v>74</v>
      </c>
      <c r="BB847">
        <v>713</v>
      </c>
      <c r="BC847">
        <v>721</v>
      </c>
      <c r="BD847" t="s">
        <v>74</v>
      </c>
      <c r="BE847" t="s">
        <v>11220</v>
      </c>
      <c r="BF847" t="str">
        <f>HYPERLINK("http://dx.doi.org/10.1111/j.1945-5100.2000.tb01455.x","http://dx.doi.org/10.1111/j.1945-5100.2000.tb01455.x")</f>
        <v>http://dx.doi.org/10.1111/j.1945-5100.2000.tb01455.x</v>
      </c>
      <c r="BG847" t="s">
        <v>74</v>
      </c>
      <c r="BH847" t="s">
        <v>74</v>
      </c>
      <c r="BI847">
        <v>9</v>
      </c>
      <c r="BJ847" t="s">
        <v>953</v>
      </c>
      <c r="BK847" t="s">
        <v>94</v>
      </c>
      <c r="BL847" t="s">
        <v>953</v>
      </c>
      <c r="BM847" t="s">
        <v>11211</v>
      </c>
      <c r="BN847" t="s">
        <v>74</v>
      </c>
      <c r="BO847" t="s">
        <v>1755</v>
      </c>
      <c r="BP847" t="s">
        <v>74</v>
      </c>
      <c r="BQ847" t="s">
        <v>74</v>
      </c>
      <c r="BR847" t="s">
        <v>97</v>
      </c>
      <c r="BS847" t="s">
        <v>11221</v>
      </c>
      <c r="BT847" t="str">
        <f>HYPERLINK("https%3A%2F%2Fwww.webofscience.com%2Fwos%2Fwoscc%2Ffull-record%2FWOS:000088617700010","View Full Record in Web of Science")</f>
        <v>View Full Record in Web of Science</v>
      </c>
    </row>
    <row r="848" spans="1:72" x14ac:dyDescent="0.15">
      <c r="A848" t="s">
        <v>72</v>
      </c>
      <c r="B848" t="s">
        <v>11222</v>
      </c>
      <c r="C848" t="s">
        <v>74</v>
      </c>
      <c r="D848" t="s">
        <v>74</v>
      </c>
      <c r="E848" t="s">
        <v>74</v>
      </c>
      <c r="F848" t="s">
        <v>11222</v>
      </c>
      <c r="G848" t="s">
        <v>74</v>
      </c>
      <c r="H848" t="s">
        <v>74</v>
      </c>
      <c r="I848" t="s">
        <v>11223</v>
      </c>
      <c r="J848" t="s">
        <v>3320</v>
      </c>
      <c r="K848" t="s">
        <v>74</v>
      </c>
      <c r="L848" t="s">
        <v>74</v>
      </c>
      <c r="M848" t="s">
        <v>77</v>
      </c>
      <c r="N848" t="s">
        <v>78</v>
      </c>
      <c r="O848" t="s">
        <v>74</v>
      </c>
      <c r="P848" t="s">
        <v>74</v>
      </c>
      <c r="Q848" t="s">
        <v>74</v>
      </c>
      <c r="R848" t="s">
        <v>74</v>
      </c>
      <c r="S848" t="s">
        <v>74</v>
      </c>
      <c r="T848" t="s">
        <v>74</v>
      </c>
      <c r="U848" t="s">
        <v>11224</v>
      </c>
      <c r="V848" t="s">
        <v>11225</v>
      </c>
      <c r="W848" t="s">
        <v>11226</v>
      </c>
      <c r="X848" t="s">
        <v>9271</v>
      </c>
      <c r="Y848" t="s">
        <v>11227</v>
      </c>
      <c r="Z848" t="s">
        <v>74</v>
      </c>
      <c r="AA848" t="s">
        <v>74</v>
      </c>
      <c r="AB848" t="s">
        <v>74</v>
      </c>
      <c r="AC848" t="s">
        <v>74</v>
      </c>
      <c r="AD848" t="s">
        <v>74</v>
      </c>
      <c r="AE848" t="s">
        <v>74</v>
      </c>
      <c r="AF848" t="s">
        <v>74</v>
      </c>
      <c r="AG848">
        <v>36</v>
      </c>
      <c r="AH848">
        <v>6</v>
      </c>
      <c r="AI848">
        <v>6</v>
      </c>
      <c r="AJ848">
        <v>0</v>
      </c>
      <c r="AK848">
        <v>1</v>
      </c>
      <c r="AL848" t="s">
        <v>3328</v>
      </c>
      <c r="AM848" t="s">
        <v>3329</v>
      </c>
      <c r="AN848" t="s">
        <v>3330</v>
      </c>
      <c r="AO848" t="s">
        <v>3331</v>
      </c>
      <c r="AP848" t="s">
        <v>74</v>
      </c>
      <c r="AQ848" t="s">
        <v>74</v>
      </c>
      <c r="AR848" t="s">
        <v>3332</v>
      </c>
      <c r="AS848" t="s">
        <v>3333</v>
      </c>
      <c r="AT848" t="s">
        <v>10688</v>
      </c>
      <c r="AU848">
        <v>2000</v>
      </c>
      <c r="AV848">
        <v>35</v>
      </c>
      <c r="AW848">
        <v>4</v>
      </c>
      <c r="AX848" t="s">
        <v>74</v>
      </c>
      <c r="AY848" t="s">
        <v>74</v>
      </c>
      <c r="AZ848" t="s">
        <v>74</v>
      </c>
      <c r="BA848" t="s">
        <v>74</v>
      </c>
      <c r="BB848">
        <v>869</v>
      </c>
      <c r="BC848">
        <v>874</v>
      </c>
      <c r="BD848" t="s">
        <v>74</v>
      </c>
      <c r="BE848" t="s">
        <v>11228</v>
      </c>
      <c r="BF848" t="str">
        <f>HYPERLINK("http://dx.doi.org/10.1111/j.1945-5100.2000.tb01470.x","http://dx.doi.org/10.1111/j.1945-5100.2000.tb01470.x")</f>
        <v>http://dx.doi.org/10.1111/j.1945-5100.2000.tb01470.x</v>
      </c>
      <c r="BG848" t="s">
        <v>74</v>
      </c>
      <c r="BH848" t="s">
        <v>74</v>
      </c>
      <c r="BI848">
        <v>6</v>
      </c>
      <c r="BJ848" t="s">
        <v>953</v>
      </c>
      <c r="BK848" t="s">
        <v>94</v>
      </c>
      <c r="BL848" t="s">
        <v>953</v>
      </c>
      <c r="BM848" t="s">
        <v>11211</v>
      </c>
      <c r="BN848" t="s">
        <v>74</v>
      </c>
      <c r="BO848" t="s">
        <v>74</v>
      </c>
      <c r="BP848" t="s">
        <v>74</v>
      </c>
      <c r="BQ848" t="s">
        <v>74</v>
      </c>
      <c r="BR848" t="s">
        <v>97</v>
      </c>
      <c r="BS848" t="s">
        <v>11229</v>
      </c>
      <c r="BT848" t="str">
        <f>HYPERLINK("https%3A%2F%2Fwww.webofscience.com%2Fwos%2Fwoscc%2Ffull-record%2FWOS:000088617700025","View Full Record in Web of Science")</f>
        <v>View Full Record in Web of Science</v>
      </c>
    </row>
    <row r="849" spans="1:72" x14ac:dyDescent="0.15">
      <c r="A849" t="s">
        <v>72</v>
      </c>
      <c r="B849" t="s">
        <v>11230</v>
      </c>
      <c r="C849" t="s">
        <v>74</v>
      </c>
      <c r="D849" t="s">
        <v>74</v>
      </c>
      <c r="E849" t="s">
        <v>74</v>
      </c>
      <c r="F849" t="s">
        <v>11230</v>
      </c>
      <c r="G849" t="s">
        <v>74</v>
      </c>
      <c r="H849" t="s">
        <v>74</v>
      </c>
      <c r="I849" t="s">
        <v>11231</v>
      </c>
      <c r="J849" t="s">
        <v>11232</v>
      </c>
      <c r="K849" t="s">
        <v>74</v>
      </c>
      <c r="L849" t="s">
        <v>74</v>
      </c>
      <c r="M849" t="s">
        <v>77</v>
      </c>
      <c r="N849" t="s">
        <v>78</v>
      </c>
      <c r="O849" t="s">
        <v>74</v>
      </c>
      <c r="P849" t="s">
        <v>74</v>
      </c>
      <c r="Q849" t="s">
        <v>74</v>
      </c>
      <c r="R849" t="s">
        <v>74</v>
      </c>
      <c r="S849" t="s">
        <v>74</v>
      </c>
      <c r="T849" t="s">
        <v>11233</v>
      </c>
      <c r="U849" t="s">
        <v>11234</v>
      </c>
      <c r="V849" t="s">
        <v>11235</v>
      </c>
      <c r="W849" t="s">
        <v>11236</v>
      </c>
      <c r="X849" t="s">
        <v>715</v>
      </c>
      <c r="Y849" t="s">
        <v>11237</v>
      </c>
      <c r="Z849" t="s">
        <v>74</v>
      </c>
      <c r="AA849" t="s">
        <v>11238</v>
      </c>
      <c r="AB849" t="s">
        <v>11239</v>
      </c>
      <c r="AC849" t="s">
        <v>74</v>
      </c>
      <c r="AD849" t="s">
        <v>74</v>
      </c>
      <c r="AE849" t="s">
        <v>74</v>
      </c>
      <c r="AF849" t="s">
        <v>74</v>
      </c>
      <c r="AG849">
        <v>62</v>
      </c>
      <c r="AH849">
        <v>122</v>
      </c>
      <c r="AI849">
        <v>133</v>
      </c>
      <c r="AJ849">
        <v>1</v>
      </c>
      <c r="AK849">
        <v>21</v>
      </c>
      <c r="AL849" t="s">
        <v>719</v>
      </c>
      <c r="AM849" t="s">
        <v>246</v>
      </c>
      <c r="AN849" t="s">
        <v>720</v>
      </c>
      <c r="AO849" t="s">
        <v>11240</v>
      </c>
      <c r="AP849" t="s">
        <v>74</v>
      </c>
      <c r="AQ849" t="s">
        <v>74</v>
      </c>
      <c r="AR849" t="s">
        <v>11241</v>
      </c>
      <c r="AS849" t="s">
        <v>11242</v>
      </c>
      <c r="AT849" t="s">
        <v>10688</v>
      </c>
      <c r="AU849">
        <v>2000</v>
      </c>
      <c r="AV849">
        <v>9</v>
      </c>
      <c r="AW849">
        <v>7</v>
      </c>
      <c r="AX849" t="s">
        <v>74</v>
      </c>
      <c r="AY849" t="s">
        <v>74</v>
      </c>
      <c r="AZ849" t="s">
        <v>74</v>
      </c>
      <c r="BA849" t="s">
        <v>74</v>
      </c>
      <c r="BB849">
        <v>935</v>
      </c>
      <c r="BC849">
        <v>948</v>
      </c>
      <c r="BD849" t="s">
        <v>74</v>
      </c>
      <c r="BE849" t="s">
        <v>11243</v>
      </c>
      <c r="BF849" t="str">
        <f>HYPERLINK("http://dx.doi.org/10.1046/j.1365-294x.2000.00953.x","http://dx.doi.org/10.1046/j.1365-294x.2000.00953.x")</f>
        <v>http://dx.doi.org/10.1046/j.1365-294x.2000.00953.x</v>
      </c>
      <c r="BG849" t="s">
        <v>74</v>
      </c>
      <c r="BH849" t="s">
        <v>74</v>
      </c>
      <c r="BI849">
        <v>14</v>
      </c>
      <c r="BJ849" t="s">
        <v>10725</v>
      </c>
      <c r="BK849" t="s">
        <v>94</v>
      </c>
      <c r="BL849" t="s">
        <v>10726</v>
      </c>
      <c r="BM849" t="s">
        <v>11244</v>
      </c>
      <c r="BN849">
        <v>10886656</v>
      </c>
      <c r="BO849" t="s">
        <v>74</v>
      </c>
      <c r="BP849" t="s">
        <v>74</v>
      </c>
      <c r="BQ849" t="s">
        <v>74</v>
      </c>
      <c r="BR849" t="s">
        <v>97</v>
      </c>
      <c r="BS849" t="s">
        <v>11245</v>
      </c>
      <c r="BT849" t="str">
        <f>HYPERLINK("https%3A%2F%2Fwww.webofscience.com%2Fwos%2Fwoscc%2Ffull-record%2FWOS:000088579300010","View Full Record in Web of Science")</f>
        <v>View Full Record in Web of Science</v>
      </c>
    </row>
    <row r="850" spans="1:72" x14ac:dyDescent="0.15">
      <c r="A850" t="s">
        <v>72</v>
      </c>
      <c r="B850" t="s">
        <v>11246</v>
      </c>
      <c r="C850" t="s">
        <v>74</v>
      </c>
      <c r="D850" t="s">
        <v>74</v>
      </c>
      <c r="E850" t="s">
        <v>74</v>
      </c>
      <c r="F850" t="s">
        <v>11246</v>
      </c>
      <c r="G850" t="s">
        <v>74</v>
      </c>
      <c r="H850" t="s">
        <v>74</v>
      </c>
      <c r="I850" t="s">
        <v>11247</v>
      </c>
      <c r="J850" t="s">
        <v>11232</v>
      </c>
      <c r="K850" t="s">
        <v>74</v>
      </c>
      <c r="L850" t="s">
        <v>74</v>
      </c>
      <c r="M850" t="s">
        <v>77</v>
      </c>
      <c r="N850" t="s">
        <v>78</v>
      </c>
      <c r="O850" t="s">
        <v>74</v>
      </c>
      <c r="P850" t="s">
        <v>74</v>
      </c>
      <c r="Q850" t="s">
        <v>74</v>
      </c>
      <c r="R850" t="s">
        <v>74</v>
      </c>
      <c r="S850" t="s">
        <v>74</v>
      </c>
      <c r="T850" t="s">
        <v>11248</v>
      </c>
      <c r="U850" t="s">
        <v>11249</v>
      </c>
      <c r="V850" t="s">
        <v>74</v>
      </c>
      <c r="W850" t="s">
        <v>11250</v>
      </c>
      <c r="X850" t="s">
        <v>3200</v>
      </c>
      <c r="Y850" t="s">
        <v>11251</v>
      </c>
      <c r="Z850" t="s">
        <v>74</v>
      </c>
      <c r="AA850" t="s">
        <v>11252</v>
      </c>
      <c r="AB850" t="s">
        <v>11253</v>
      </c>
      <c r="AC850" t="s">
        <v>74</v>
      </c>
      <c r="AD850" t="s">
        <v>74</v>
      </c>
      <c r="AE850" t="s">
        <v>74</v>
      </c>
      <c r="AF850" t="s">
        <v>74</v>
      </c>
      <c r="AG850">
        <v>6</v>
      </c>
      <c r="AH850">
        <v>6</v>
      </c>
      <c r="AI850">
        <v>6</v>
      </c>
      <c r="AJ850">
        <v>0</v>
      </c>
      <c r="AK850">
        <v>3</v>
      </c>
      <c r="AL850" t="s">
        <v>719</v>
      </c>
      <c r="AM850" t="s">
        <v>246</v>
      </c>
      <c r="AN850" t="s">
        <v>720</v>
      </c>
      <c r="AO850" t="s">
        <v>11240</v>
      </c>
      <c r="AP850" t="s">
        <v>74</v>
      </c>
      <c r="AQ850" t="s">
        <v>74</v>
      </c>
      <c r="AR850" t="s">
        <v>11241</v>
      </c>
      <c r="AS850" t="s">
        <v>11242</v>
      </c>
      <c r="AT850" t="s">
        <v>10688</v>
      </c>
      <c r="AU850">
        <v>2000</v>
      </c>
      <c r="AV850">
        <v>9</v>
      </c>
      <c r="AW850">
        <v>7</v>
      </c>
      <c r="AX850" t="s">
        <v>74</v>
      </c>
      <c r="AY850" t="s">
        <v>74</v>
      </c>
      <c r="AZ850" t="s">
        <v>74</v>
      </c>
      <c r="BA850" t="s">
        <v>74</v>
      </c>
      <c r="BB850">
        <v>1002</v>
      </c>
      <c r="BC850">
        <v>1004</v>
      </c>
      <c r="BD850" t="s">
        <v>74</v>
      </c>
      <c r="BE850" t="s">
        <v>11254</v>
      </c>
      <c r="BF850" t="str">
        <f>HYPERLINK("http://dx.doi.org/10.1046/j.1365-294x.2000.00939-7.x","http://dx.doi.org/10.1046/j.1365-294x.2000.00939-7.x")</f>
        <v>http://dx.doi.org/10.1046/j.1365-294x.2000.00939-7.x</v>
      </c>
      <c r="BG850" t="s">
        <v>74</v>
      </c>
      <c r="BH850" t="s">
        <v>74</v>
      </c>
      <c r="BI850">
        <v>3</v>
      </c>
      <c r="BJ850" t="s">
        <v>10725</v>
      </c>
      <c r="BK850" t="s">
        <v>94</v>
      </c>
      <c r="BL850" t="s">
        <v>10726</v>
      </c>
      <c r="BM850" t="s">
        <v>11244</v>
      </c>
      <c r="BN850">
        <v>10886667</v>
      </c>
      <c r="BO850" t="s">
        <v>74</v>
      </c>
      <c r="BP850" t="s">
        <v>74</v>
      </c>
      <c r="BQ850" t="s">
        <v>74</v>
      </c>
      <c r="BR850" t="s">
        <v>97</v>
      </c>
      <c r="BS850" t="s">
        <v>11255</v>
      </c>
      <c r="BT850" t="str">
        <f>HYPERLINK("https%3A%2F%2Fwww.webofscience.com%2Fwos%2Fwoscc%2Ffull-record%2FWOS:000088579300021","View Full Record in Web of Science")</f>
        <v>View Full Record in Web of Science</v>
      </c>
    </row>
    <row r="851" spans="1:72" x14ac:dyDescent="0.15">
      <c r="A851" t="s">
        <v>72</v>
      </c>
      <c r="B851" t="s">
        <v>11256</v>
      </c>
      <c r="C851" t="s">
        <v>74</v>
      </c>
      <c r="D851" t="s">
        <v>74</v>
      </c>
      <c r="E851" t="s">
        <v>74</v>
      </c>
      <c r="F851" t="s">
        <v>11256</v>
      </c>
      <c r="G851" t="s">
        <v>74</v>
      </c>
      <c r="H851" t="s">
        <v>74</v>
      </c>
      <c r="I851" t="s">
        <v>11257</v>
      </c>
      <c r="J851" t="s">
        <v>11258</v>
      </c>
      <c r="K851" t="s">
        <v>74</v>
      </c>
      <c r="L851" t="s">
        <v>74</v>
      </c>
      <c r="M851" t="s">
        <v>11259</v>
      </c>
      <c r="N851" t="s">
        <v>78</v>
      </c>
      <c r="O851" t="s">
        <v>74</v>
      </c>
      <c r="P851" t="s">
        <v>74</v>
      </c>
      <c r="Q851" t="s">
        <v>74</v>
      </c>
      <c r="R851" t="s">
        <v>74</v>
      </c>
      <c r="S851" t="s">
        <v>74</v>
      </c>
      <c r="T851" t="s">
        <v>74</v>
      </c>
      <c r="U851" t="s">
        <v>11260</v>
      </c>
      <c r="V851" t="s">
        <v>11261</v>
      </c>
      <c r="W851" t="s">
        <v>11262</v>
      </c>
      <c r="X851" t="s">
        <v>11263</v>
      </c>
      <c r="Y851" t="s">
        <v>11264</v>
      </c>
      <c r="Z851" t="s">
        <v>74</v>
      </c>
      <c r="AA851" t="s">
        <v>11265</v>
      </c>
      <c r="AB851" t="s">
        <v>74</v>
      </c>
      <c r="AC851" t="s">
        <v>74</v>
      </c>
      <c r="AD851" t="s">
        <v>74</v>
      </c>
      <c r="AE851" t="s">
        <v>74</v>
      </c>
      <c r="AF851" t="s">
        <v>74</v>
      </c>
      <c r="AG851">
        <v>19</v>
      </c>
      <c r="AH851">
        <v>16</v>
      </c>
      <c r="AI851">
        <v>17</v>
      </c>
      <c r="AJ851">
        <v>0</v>
      </c>
      <c r="AK851">
        <v>4</v>
      </c>
      <c r="AL851" t="s">
        <v>11266</v>
      </c>
      <c r="AM851" t="s">
        <v>589</v>
      </c>
      <c r="AN851" t="s">
        <v>11267</v>
      </c>
      <c r="AO851" t="s">
        <v>11268</v>
      </c>
      <c r="AP851" t="s">
        <v>74</v>
      </c>
      <c r="AQ851" t="s">
        <v>74</v>
      </c>
      <c r="AR851" t="s">
        <v>11269</v>
      </c>
      <c r="AS851" t="s">
        <v>11270</v>
      </c>
      <c r="AT851" t="s">
        <v>10688</v>
      </c>
      <c r="AU851">
        <v>2000</v>
      </c>
      <c r="AV851">
        <v>66</v>
      </c>
      <c r="AW851">
        <v>4</v>
      </c>
      <c r="AX851" t="s">
        <v>74</v>
      </c>
      <c r="AY851" t="s">
        <v>74</v>
      </c>
      <c r="AZ851" t="s">
        <v>74</v>
      </c>
      <c r="BA851" t="s">
        <v>74</v>
      </c>
      <c r="BB851">
        <v>682</v>
      </c>
      <c r="BC851">
        <v>689</v>
      </c>
      <c r="BD851" t="s">
        <v>74</v>
      </c>
      <c r="BE851" t="s">
        <v>74</v>
      </c>
      <c r="BF851" t="s">
        <v>74</v>
      </c>
      <c r="BG851" t="s">
        <v>74</v>
      </c>
      <c r="BH851" t="s">
        <v>74</v>
      </c>
      <c r="BI851">
        <v>8</v>
      </c>
      <c r="BJ851" t="s">
        <v>3507</v>
      </c>
      <c r="BK851" t="s">
        <v>94</v>
      </c>
      <c r="BL851" t="s">
        <v>3507</v>
      </c>
      <c r="BM851" t="s">
        <v>11271</v>
      </c>
      <c r="BN851" t="s">
        <v>74</v>
      </c>
      <c r="BO851" t="s">
        <v>74</v>
      </c>
      <c r="BP851" t="s">
        <v>74</v>
      </c>
      <c r="BQ851" t="s">
        <v>74</v>
      </c>
      <c r="BR851" t="s">
        <v>97</v>
      </c>
      <c r="BS851" t="s">
        <v>11272</v>
      </c>
      <c r="BT851" t="str">
        <f>HYPERLINK("https%3A%2F%2Fwww.webofscience.com%2Fwos%2Fwoscc%2Ffull-record%2FWOS:000089131600015","View Full Record in Web of Science")</f>
        <v>View Full Record in Web of Science</v>
      </c>
    </row>
    <row r="852" spans="1:72" x14ac:dyDescent="0.15">
      <c r="A852" t="s">
        <v>72</v>
      </c>
      <c r="B852" t="s">
        <v>11273</v>
      </c>
      <c r="C852" t="s">
        <v>74</v>
      </c>
      <c r="D852" t="s">
        <v>74</v>
      </c>
      <c r="E852" t="s">
        <v>74</v>
      </c>
      <c r="F852" t="s">
        <v>11273</v>
      </c>
      <c r="G852" t="s">
        <v>74</v>
      </c>
      <c r="H852" t="s">
        <v>74</v>
      </c>
      <c r="I852" t="s">
        <v>11274</v>
      </c>
      <c r="J852" t="s">
        <v>7060</v>
      </c>
      <c r="K852" t="s">
        <v>74</v>
      </c>
      <c r="L852" t="s">
        <v>74</v>
      </c>
      <c r="M852" t="s">
        <v>77</v>
      </c>
      <c r="N852" t="s">
        <v>78</v>
      </c>
      <c r="O852" t="s">
        <v>74</v>
      </c>
      <c r="P852" t="s">
        <v>74</v>
      </c>
      <c r="Q852" t="s">
        <v>74</v>
      </c>
      <c r="R852" t="s">
        <v>74</v>
      </c>
      <c r="S852" t="s">
        <v>74</v>
      </c>
      <c r="T852" t="s">
        <v>74</v>
      </c>
      <c r="U852" t="s">
        <v>74</v>
      </c>
      <c r="V852" t="s">
        <v>11275</v>
      </c>
      <c r="W852" t="s">
        <v>11276</v>
      </c>
      <c r="X852" t="s">
        <v>9506</v>
      </c>
      <c r="Y852" t="s">
        <v>11277</v>
      </c>
      <c r="Z852" t="s">
        <v>74</v>
      </c>
      <c r="AA852" t="s">
        <v>74</v>
      </c>
      <c r="AB852" t="s">
        <v>74</v>
      </c>
      <c r="AC852" t="s">
        <v>74</v>
      </c>
      <c r="AD852" t="s">
        <v>74</v>
      </c>
      <c r="AE852" t="s">
        <v>74</v>
      </c>
      <c r="AF852" t="s">
        <v>74</v>
      </c>
      <c r="AG852">
        <v>9</v>
      </c>
      <c r="AH852">
        <v>0</v>
      </c>
      <c r="AI852">
        <v>0</v>
      </c>
      <c r="AJ852">
        <v>0</v>
      </c>
      <c r="AK852">
        <v>0</v>
      </c>
      <c r="AL852" t="s">
        <v>1025</v>
      </c>
      <c r="AM852" t="s">
        <v>1026</v>
      </c>
      <c r="AN852" t="s">
        <v>1027</v>
      </c>
      <c r="AO852" t="s">
        <v>7068</v>
      </c>
      <c r="AP852" t="s">
        <v>74</v>
      </c>
      <c r="AQ852" t="s">
        <v>74</v>
      </c>
      <c r="AR852" t="s">
        <v>7070</v>
      </c>
      <c r="AS852" t="s">
        <v>7071</v>
      </c>
      <c r="AT852" t="s">
        <v>10673</v>
      </c>
      <c r="AU852">
        <v>2000</v>
      </c>
      <c r="AV852">
        <v>40</v>
      </c>
      <c r="AW852">
        <v>4</v>
      </c>
      <c r="AX852" t="s">
        <v>74</v>
      </c>
      <c r="AY852" t="s">
        <v>74</v>
      </c>
      <c r="AZ852" t="s">
        <v>74</v>
      </c>
      <c r="BA852" t="s">
        <v>74</v>
      </c>
      <c r="BB852">
        <v>458</v>
      </c>
      <c r="BC852">
        <v>464</v>
      </c>
      <c r="BD852" t="s">
        <v>74</v>
      </c>
      <c r="BE852" t="s">
        <v>74</v>
      </c>
      <c r="BF852" t="s">
        <v>74</v>
      </c>
      <c r="BG852" t="s">
        <v>74</v>
      </c>
      <c r="BH852" t="s">
        <v>74</v>
      </c>
      <c r="BI852">
        <v>7</v>
      </c>
      <c r="BJ852" t="s">
        <v>252</v>
      </c>
      <c r="BK852" t="s">
        <v>94</v>
      </c>
      <c r="BL852" t="s">
        <v>252</v>
      </c>
      <c r="BM852" t="s">
        <v>11278</v>
      </c>
      <c r="BN852" t="s">
        <v>74</v>
      </c>
      <c r="BO852" t="s">
        <v>74</v>
      </c>
      <c r="BP852" t="s">
        <v>74</v>
      </c>
      <c r="BQ852" t="s">
        <v>74</v>
      </c>
      <c r="BR852" t="s">
        <v>97</v>
      </c>
      <c r="BS852" t="s">
        <v>11279</v>
      </c>
      <c r="BT852" t="str">
        <f>HYPERLINK("https%3A%2F%2Fwww.webofscience.com%2Fwos%2Fwoscc%2Ffull-record%2FWOS:000089048500002","View Full Record in Web of Science")</f>
        <v>View Full Record in Web of Science</v>
      </c>
    </row>
    <row r="853" spans="1:72" x14ac:dyDescent="0.15">
      <c r="A853" t="s">
        <v>72</v>
      </c>
      <c r="B853" t="s">
        <v>11280</v>
      </c>
      <c r="C853" t="s">
        <v>74</v>
      </c>
      <c r="D853" t="s">
        <v>74</v>
      </c>
      <c r="E853" t="s">
        <v>74</v>
      </c>
      <c r="F853" t="s">
        <v>11280</v>
      </c>
      <c r="G853" t="s">
        <v>74</v>
      </c>
      <c r="H853" t="s">
        <v>74</v>
      </c>
      <c r="I853" t="s">
        <v>11281</v>
      </c>
      <c r="J853" t="s">
        <v>7060</v>
      </c>
      <c r="K853" t="s">
        <v>74</v>
      </c>
      <c r="L853" t="s">
        <v>74</v>
      </c>
      <c r="M853" t="s">
        <v>77</v>
      </c>
      <c r="N853" t="s">
        <v>78</v>
      </c>
      <c r="O853" t="s">
        <v>74</v>
      </c>
      <c r="P853" t="s">
        <v>74</v>
      </c>
      <c r="Q853" t="s">
        <v>74</v>
      </c>
      <c r="R853" t="s">
        <v>74</v>
      </c>
      <c r="S853" t="s">
        <v>74</v>
      </c>
      <c r="T853" t="s">
        <v>74</v>
      </c>
      <c r="U853" t="s">
        <v>74</v>
      </c>
      <c r="V853" t="s">
        <v>11282</v>
      </c>
      <c r="W853" t="s">
        <v>11276</v>
      </c>
      <c r="X853" t="s">
        <v>9506</v>
      </c>
      <c r="Y853" t="s">
        <v>11283</v>
      </c>
      <c r="Z853" t="s">
        <v>74</v>
      </c>
      <c r="AA853" t="s">
        <v>74</v>
      </c>
      <c r="AB853" t="s">
        <v>74</v>
      </c>
      <c r="AC853" t="s">
        <v>74</v>
      </c>
      <c r="AD853" t="s">
        <v>74</v>
      </c>
      <c r="AE853" t="s">
        <v>74</v>
      </c>
      <c r="AF853" t="s">
        <v>74</v>
      </c>
      <c r="AG853">
        <v>28</v>
      </c>
      <c r="AH853">
        <v>0</v>
      </c>
      <c r="AI853">
        <v>0</v>
      </c>
      <c r="AJ853">
        <v>0</v>
      </c>
      <c r="AK853">
        <v>0</v>
      </c>
      <c r="AL853" t="s">
        <v>1025</v>
      </c>
      <c r="AM853" t="s">
        <v>1026</v>
      </c>
      <c r="AN853" t="s">
        <v>1027</v>
      </c>
      <c r="AO853" t="s">
        <v>7068</v>
      </c>
      <c r="AP853" t="s">
        <v>74</v>
      </c>
      <c r="AQ853" t="s">
        <v>74</v>
      </c>
      <c r="AR853" t="s">
        <v>7070</v>
      </c>
      <c r="AS853" t="s">
        <v>7071</v>
      </c>
      <c r="AT853" t="s">
        <v>10673</v>
      </c>
      <c r="AU853">
        <v>2000</v>
      </c>
      <c r="AV853">
        <v>40</v>
      </c>
      <c r="AW853">
        <v>4</v>
      </c>
      <c r="AX853" t="s">
        <v>74</v>
      </c>
      <c r="AY853" t="s">
        <v>74</v>
      </c>
      <c r="AZ853" t="s">
        <v>74</v>
      </c>
      <c r="BA853" t="s">
        <v>74</v>
      </c>
      <c r="BB853">
        <v>590</v>
      </c>
      <c r="BC853">
        <v>596</v>
      </c>
      <c r="BD853" t="s">
        <v>74</v>
      </c>
      <c r="BE853" t="s">
        <v>74</v>
      </c>
      <c r="BF853" t="s">
        <v>74</v>
      </c>
      <c r="BG853" t="s">
        <v>74</v>
      </c>
      <c r="BH853" t="s">
        <v>74</v>
      </c>
      <c r="BI853">
        <v>7</v>
      </c>
      <c r="BJ853" t="s">
        <v>252</v>
      </c>
      <c r="BK853" t="s">
        <v>94</v>
      </c>
      <c r="BL853" t="s">
        <v>252</v>
      </c>
      <c r="BM853" t="s">
        <v>11278</v>
      </c>
      <c r="BN853" t="s">
        <v>74</v>
      </c>
      <c r="BO853" t="s">
        <v>74</v>
      </c>
      <c r="BP853" t="s">
        <v>74</v>
      </c>
      <c r="BQ853" t="s">
        <v>74</v>
      </c>
      <c r="BR853" t="s">
        <v>97</v>
      </c>
      <c r="BS853" t="s">
        <v>11284</v>
      </c>
      <c r="BT853" t="str">
        <f>HYPERLINK("https%3A%2F%2Fwww.webofscience.com%2Fwos%2Fwoscc%2Ffull-record%2FWOS:000089048500020","View Full Record in Web of Science")</f>
        <v>View Full Record in Web of Science</v>
      </c>
    </row>
    <row r="854" spans="1:72" x14ac:dyDescent="0.15">
      <c r="A854" t="s">
        <v>72</v>
      </c>
      <c r="B854" t="s">
        <v>11285</v>
      </c>
      <c r="C854" t="s">
        <v>74</v>
      </c>
      <c r="D854" t="s">
        <v>74</v>
      </c>
      <c r="E854" t="s">
        <v>74</v>
      </c>
      <c r="F854" t="s">
        <v>11285</v>
      </c>
      <c r="G854" t="s">
        <v>74</v>
      </c>
      <c r="H854" t="s">
        <v>74</v>
      </c>
      <c r="I854" t="s">
        <v>11286</v>
      </c>
      <c r="J854" t="s">
        <v>11287</v>
      </c>
      <c r="K854" t="s">
        <v>74</v>
      </c>
      <c r="L854" t="s">
        <v>74</v>
      </c>
      <c r="M854" t="s">
        <v>77</v>
      </c>
      <c r="N854" t="s">
        <v>576</v>
      </c>
      <c r="O854" t="s">
        <v>11288</v>
      </c>
      <c r="P854">
        <v>1998</v>
      </c>
      <c r="Q854" t="s">
        <v>11289</v>
      </c>
      <c r="R854" t="s">
        <v>74</v>
      </c>
      <c r="S854" t="s">
        <v>74</v>
      </c>
      <c r="T854" t="s">
        <v>11290</v>
      </c>
      <c r="U854" t="s">
        <v>11291</v>
      </c>
      <c r="V854" t="s">
        <v>11292</v>
      </c>
      <c r="W854" t="s">
        <v>11293</v>
      </c>
      <c r="X854" t="s">
        <v>3733</v>
      </c>
      <c r="Y854" t="s">
        <v>11294</v>
      </c>
      <c r="Z854" t="s">
        <v>74</v>
      </c>
      <c r="AA854" t="s">
        <v>74</v>
      </c>
      <c r="AB854" t="s">
        <v>74</v>
      </c>
      <c r="AC854" t="s">
        <v>74</v>
      </c>
      <c r="AD854" t="s">
        <v>74</v>
      </c>
      <c r="AE854" t="s">
        <v>74</v>
      </c>
      <c r="AF854" t="s">
        <v>74</v>
      </c>
      <c r="AG854">
        <v>28</v>
      </c>
      <c r="AH854">
        <v>19</v>
      </c>
      <c r="AI854">
        <v>22</v>
      </c>
      <c r="AJ854">
        <v>0</v>
      </c>
      <c r="AK854">
        <v>10</v>
      </c>
      <c r="AL854" t="s">
        <v>11295</v>
      </c>
      <c r="AM854" t="s">
        <v>3737</v>
      </c>
      <c r="AN854" t="s">
        <v>11296</v>
      </c>
      <c r="AO854" t="s">
        <v>11297</v>
      </c>
      <c r="AP854" t="s">
        <v>74</v>
      </c>
      <c r="AQ854" t="s">
        <v>74</v>
      </c>
      <c r="AR854" t="s">
        <v>11287</v>
      </c>
      <c r="AS854" t="s">
        <v>11298</v>
      </c>
      <c r="AT854" t="s">
        <v>10688</v>
      </c>
      <c r="AU854">
        <v>2000</v>
      </c>
      <c r="AV854">
        <v>44</v>
      </c>
      <c r="AW854" t="s">
        <v>1046</v>
      </c>
      <c r="AX854" t="s">
        <v>74</v>
      </c>
      <c r="AY854" t="s">
        <v>74</v>
      </c>
      <c r="AZ854" t="s">
        <v>74</v>
      </c>
      <c r="BA854" t="s">
        <v>74</v>
      </c>
      <c r="BB854">
        <v>342</v>
      </c>
      <c r="BC854">
        <v>360</v>
      </c>
      <c r="BD854" t="s">
        <v>74</v>
      </c>
      <c r="BE854" t="s">
        <v>11299</v>
      </c>
      <c r="BF854" t="str">
        <f>HYPERLINK("http://dx.doi.org/10.1078/S0031-4056(04)70054-2","http://dx.doi.org/10.1078/S0031-4056(04)70054-2")</f>
        <v>http://dx.doi.org/10.1078/S0031-4056(04)70054-2</v>
      </c>
      <c r="BG854" t="s">
        <v>74</v>
      </c>
      <c r="BH854" t="s">
        <v>74</v>
      </c>
      <c r="BI854">
        <v>19</v>
      </c>
      <c r="BJ854" t="s">
        <v>11300</v>
      </c>
      <c r="BK854" t="s">
        <v>596</v>
      </c>
      <c r="BL854" t="s">
        <v>11301</v>
      </c>
      <c r="BM854" t="s">
        <v>11302</v>
      </c>
      <c r="BN854" t="s">
        <v>74</v>
      </c>
      <c r="BO854" t="s">
        <v>74</v>
      </c>
      <c r="BP854" t="s">
        <v>74</v>
      </c>
      <c r="BQ854" t="s">
        <v>74</v>
      </c>
      <c r="BR854" t="s">
        <v>97</v>
      </c>
      <c r="BS854" t="s">
        <v>11303</v>
      </c>
      <c r="BT854" t="str">
        <f>HYPERLINK("https%3A%2F%2Fwww.webofscience.com%2Fwos%2Fwoscc%2Ffull-record%2FWOS:000088577200016","View Full Record in Web of Science")</f>
        <v>View Full Record in Web of Science</v>
      </c>
    </row>
    <row r="855" spans="1:72" x14ac:dyDescent="0.15">
      <c r="A855" t="s">
        <v>72</v>
      </c>
      <c r="B855" t="s">
        <v>11304</v>
      </c>
      <c r="C855" t="s">
        <v>74</v>
      </c>
      <c r="D855" t="s">
        <v>74</v>
      </c>
      <c r="E855" t="s">
        <v>74</v>
      </c>
      <c r="F855" t="s">
        <v>11304</v>
      </c>
      <c r="G855" t="s">
        <v>74</v>
      </c>
      <c r="H855" t="s">
        <v>74</v>
      </c>
      <c r="I855" t="s">
        <v>11305</v>
      </c>
      <c r="J855" t="s">
        <v>5962</v>
      </c>
      <c r="K855" t="s">
        <v>74</v>
      </c>
      <c r="L855" t="s">
        <v>74</v>
      </c>
      <c r="M855" t="s">
        <v>77</v>
      </c>
      <c r="N855" t="s">
        <v>78</v>
      </c>
      <c r="O855" t="s">
        <v>74</v>
      </c>
      <c r="P855" t="s">
        <v>74</v>
      </c>
      <c r="Q855" t="s">
        <v>74</v>
      </c>
      <c r="R855" t="s">
        <v>74</v>
      </c>
      <c r="S855" t="s">
        <v>74</v>
      </c>
      <c r="T855" t="s">
        <v>74</v>
      </c>
      <c r="U855" t="s">
        <v>11306</v>
      </c>
      <c r="V855" t="s">
        <v>11307</v>
      </c>
      <c r="W855" t="s">
        <v>11308</v>
      </c>
      <c r="X855" t="s">
        <v>11309</v>
      </c>
      <c r="Y855" t="s">
        <v>11310</v>
      </c>
      <c r="Z855" t="s">
        <v>11311</v>
      </c>
      <c r="AA855" t="s">
        <v>11312</v>
      </c>
      <c r="AB855" t="s">
        <v>11313</v>
      </c>
      <c r="AC855" t="s">
        <v>74</v>
      </c>
      <c r="AD855" t="s">
        <v>74</v>
      </c>
      <c r="AE855" t="s">
        <v>74</v>
      </c>
      <c r="AF855" t="s">
        <v>74</v>
      </c>
      <c r="AG855">
        <v>98</v>
      </c>
      <c r="AH855">
        <v>50</v>
      </c>
      <c r="AI855">
        <v>59</v>
      </c>
      <c r="AJ855">
        <v>0</v>
      </c>
      <c r="AK855">
        <v>13</v>
      </c>
      <c r="AL855" t="s">
        <v>813</v>
      </c>
      <c r="AM855" t="s">
        <v>814</v>
      </c>
      <c r="AN855" t="s">
        <v>815</v>
      </c>
      <c r="AO855" t="s">
        <v>5970</v>
      </c>
      <c r="AP855" t="s">
        <v>11314</v>
      </c>
      <c r="AQ855" t="s">
        <v>74</v>
      </c>
      <c r="AR855" t="s">
        <v>5971</v>
      </c>
      <c r="AS855" t="s">
        <v>5972</v>
      </c>
      <c r="AT855" t="s">
        <v>10688</v>
      </c>
      <c r="AU855">
        <v>2000</v>
      </c>
      <c r="AV855">
        <v>72</v>
      </c>
      <c r="AW855">
        <v>1</v>
      </c>
      <c r="AX855" t="s">
        <v>74</v>
      </c>
      <c r="AY855" t="s">
        <v>74</v>
      </c>
      <c r="AZ855" t="s">
        <v>74</v>
      </c>
      <c r="BA855" t="s">
        <v>74</v>
      </c>
      <c r="BB855">
        <v>62</v>
      </c>
      <c r="BC855">
        <v>74</v>
      </c>
      <c r="BD855" t="s">
        <v>74</v>
      </c>
      <c r="BE855" t="s">
        <v>11315</v>
      </c>
      <c r="BF855" t="str">
        <f>HYPERLINK("http://dx.doi.org/10.1562/0031-8655(2000)072&lt;0062:DTDIBA&gt;2.0.CO;2","http://dx.doi.org/10.1562/0031-8655(2000)072&lt;0062:DTDIBA&gt;2.0.CO;2")</f>
        <v>http://dx.doi.org/10.1562/0031-8655(2000)072&lt;0062:DTDIBA&gt;2.0.CO;2</v>
      </c>
      <c r="BG855" t="s">
        <v>74</v>
      </c>
      <c r="BH855" t="s">
        <v>74</v>
      </c>
      <c r="BI855">
        <v>13</v>
      </c>
      <c r="BJ855" t="s">
        <v>4732</v>
      </c>
      <c r="BK855" t="s">
        <v>94</v>
      </c>
      <c r="BL855" t="s">
        <v>4732</v>
      </c>
      <c r="BM855" t="s">
        <v>11316</v>
      </c>
      <c r="BN855">
        <v>10911730</v>
      </c>
      <c r="BO855" t="s">
        <v>74</v>
      </c>
      <c r="BP855" t="s">
        <v>74</v>
      </c>
      <c r="BQ855" t="s">
        <v>74</v>
      </c>
      <c r="BR855" t="s">
        <v>97</v>
      </c>
      <c r="BS855" t="s">
        <v>11317</v>
      </c>
      <c r="BT855" t="str">
        <f>HYPERLINK("https%3A%2F%2Fwww.webofscience.com%2Fwos%2Fwoscc%2Ffull-record%2FWOS:000088191200009","View Full Record in Web of Science")</f>
        <v>View Full Record in Web of Science</v>
      </c>
    </row>
    <row r="856" spans="1:72" x14ac:dyDescent="0.15">
      <c r="A856" t="s">
        <v>72</v>
      </c>
      <c r="B856" t="s">
        <v>11318</v>
      </c>
      <c r="C856" t="s">
        <v>74</v>
      </c>
      <c r="D856" t="s">
        <v>74</v>
      </c>
      <c r="E856" t="s">
        <v>74</v>
      </c>
      <c r="F856" t="s">
        <v>11318</v>
      </c>
      <c r="G856" t="s">
        <v>74</v>
      </c>
      <c r="H856" t="s">
        <v>74</v>
      </c>
      <c r="I856" t="s">
        <v>11319</v>
      </c>
      <c r="J856" t="s">
        <v>11320</v>
      </c>
      <c r="K856" t="s">
        <v>74</v>
      </c>
      <c r="L856" t="s">
        <v>74</v>
      </c>
      <c r="M856" t="s">
        <v>77</v>
      </c>
      <c r="N856" t="s">
        <v>236</v>
      </c>
      <c r="O856" t="s">
        <v>74</v>
      </c>
      <c r="P856" t="s">
        <v>74</v>
      </c>
      <c r="Q856" t="s">
        <v>74</v>
      </c>
      <c r="R856" t="s">
        <v>74</v>
      </c>
      <c r="S856" t="s">
        <v>74</v>
      </c>
      <c r="T856" t="s">
        <v>74</v>
      </c>
      <c r="U856" t="s">
        <v>11321</v>
      </c>
      <c r="V856" t="s">
        <v>11322</v>
      </c>
      <c r="W856" t="s">
        <v>11323</v>
      </c>
      <c r="X856" t="s">
        <v>11324</v>
      </c>
      <c r="Y856" t="s">
        <v>11325</v>
      </c>
      <c r="Z856" t="s">
        <v>11326</v>
      </c>
      <c r="AA856" t="s">
        <v>11327</v>
      </c>
      <c r="AB856" t="s">
        <v>11328</v>
      </c>
      <c r="AC856" t="s">
        <v>74</v>
      </c>
      <c r="AD856" t="s">
        <v>74</v>
      </c>
      <c r="AE856" t="s">
        <v>74</v>
      </c>
      <c r="AF856" t="s">
        <v>74</v>
      </c>
      <c r="AG856">
        <v>38</v>
      </c>
      <c r="AH856">
        <v>176</v>
      </c>
      <c r="AI856">
        <v>198</v>
      </c>
      <c r="AJ856">
        <v>0</v>
      </c>
      <c r="AK856">
        <v>34</v>
      </c>
      <c r="AL856" t="s">
        <v>1823</v>
      </c>
      <c r="AM856" t="s">
        <v>1121</v>
      </c>
      <c r="AN856" t="s">
        <v>1824</v>
      </c>
      <c r="AO856" t="s">
        <v>11329</v>
      </c>
      <c r="AP856" t="s">
        <v>11330</v>
      </c>
      <c r="AQ856" t="s">
        <v>74</v>
      </c>
      <c r="AR856" t="s">
        <v>11331</v>
      </c>
      <c r="AS856" t="s">
        <v>11332</v>
      </c>
      <c r="AT856" t="s">
        <v>10864</v>
      </c>
      <c r="AU856">
        <v>2000</v>
      </c>
      <c r="AV856">
        <v>282</v>
      </c>
      <c r="AW856" t="s">
        <v>870</v>
      </c>
      <c r="AX856" t="s">
        <v>74</v>
      </c>
      <c r="AY856" t="s">
        <v>74</v>
      </c>
      <c r="AZ856" t="s">
        <v>74</v>
      </c>
      <c r="BA856" t="s">
        <v>74</v>
      </c>
      <c r="BB856">
        <v>1</v>
      </c>
      <c r="BC856">
        <v>12</v>
      </c>
      <c r="BD856" t="s">
        <v>74</v>
      </c>
      <c r="BE856" t="s">
        <v>11333</v>
      </c>
      <c r="BF856" t="str">
        <f>HYPERLINK("http://dx.doi.org/10.1016/S0378-4371(00)00071-6","http://dx.doi.org/10.1016/S0378-4371(00)00071-6")</f>
        <v>http://dx.doi.org/10.1016/S0378-4371(00)00071-6</v>
      </c>
      <c r="BG856" t="s">
        <v>74</v>
      </c>
      <c r="BH856" t="s">
        <v>74</v>
      </c>
      <c r="BI856">
        <v>12</v>
      </c>
      <c r="BJ856" t="s">
        <v>10379</v>
      </c>
      <c r="BK856" t="s">
        <v>94</v>
      </c>
      <c r="BL856" t="s">
        <v>1156</v>
      </c>
      <c r="BM856" t="s">
        <v>11334</v>
      </c>
      <c r="BN856" t="s">
        <v>74</v>
      </c>
      <c r="BO856" t="s">
        <v>74</v>
      </c>
      <c r="BP856" t="s">
        <v>74</v>
      </c>
      <c r="BQ856" t="s">
        <v>74</v>
      </c>
      <c r="BR856" t="s">
        <v>97</v>
      </c>
      <c r="BS856" t="s">
        <v>11335</v>
      </c>
      <c r="BT856" t="str">
        <f>HYPERLINK("https%3A%2F%2Fwww.webofscience.com%2Fwos%2Fwoscc%2Ffull-record%2FWOS:000087855000001","View Full Record in Web of Science")</f>
        <v>View Full Record in Web of Science</v>
      </c>
    </row>
    <row r="857" spans="1:72" x14ac:dyDescent="0.15">
      <c r="A857" t="s">
        <v>72</v>
      </c>
      <c r="B857" t="s">
        <v>11336</v>
      </c>
      <c r="C857" t="s">
        <v>74</v>
      </c>
      <c r="D857" t="s">
        <v>74</v>
      </c>
      <c r="E857" t="s">
        <v>74</v>
      </c>
      <c r="F857" t="s">
        <v>11336</v>
      </c>
      <c r="G857" t="s">
        <v>74</v>
      </c>
      <c r="H857" t="s">
        <v>74</v>
      </c>
      <c r="I857" t="s">
        <v>11337</v>
      </c>
      <c r="J857" t="s">
        <v>3823</v>
      </c>
      <c r="K857" t="s">
        <v>74</v>
      </c>
      <c r="L857" t="s">
        <v>74</v>
      </c>
      <c r="M857" t="s">
        <v>77</v>
      </c>
      <c r="N857" t="s">
        <v>78</v>
      </c>
      <c r="O857" t="s">
        <v>74</v>
      </c>
      <c r="P857" t="s">
        <v>74</v>
      </c>
      <c r="Q857" t="s">
        <v>74</v>
      </c>
      <c r="R857" t="s">
        <v>74</v>
      </c>
      <c r="S857" t="s">
        <v>74</v>
      </c>
      <c r="T857" t="s">
        <v>74</v>
      </c>
      <c r="U857" t="s">
        <v>11338</v>
      </c>
      <c r="V857" t="s">
        <v>11339</v>
      </c>
      <c r="W857" t="s">
        <v>11340</v>
      </c>
      <c r="X857" t="s">
        <v>11341</v>
      </c>
      <c r="Y857" t="s">
        <v>11342</v>
      </c>
      <c r="Z857" t="s">
        <v>11343</v>
      </c>
      <c r="AA857" t="s">
        <v>11344</v>
      </c>
      <c r="AB857" t="s">
        <v>11345</v>
      </c>
      <c r="AC857" t="s">
        <v>74</v>
      </c>
      <c r="AD857" t="s">
        <v>74</v>
      </c>
      <c r="AE857" t="s">
        <v>74</v>
      </c>
      <c r="AF857" t="s">
        <v>74</v>
      </c>
      <c r="AG857">
        <v>40</v>
      </c>
      <c r="AH857">
        <v>104</v>
      </c>
      <c r="AI857">
        <v>112</v>
      </c>
      <c r="AJ857">
        <v>0</v>
      </c>
      <c r="AK857">
        <v>25</v>
      </c>
      <c r="AL857" t="s">
        <v>3292</v>
      </c>
      <c r="AM857" t="s">
        <v>814</v>
      </c>
      <c r="AN857" t="s">
        <v>815</v>
      </c>
      <c r="AO857" t="s">
        <v>3834</v>
      </c>
      <c r="AP857" t="s">
        <v>11346</v>
      </c>
      <c r="AQ857" t="s">
        <v>74</v>
      </c>
      <c r="AR857" t="s">
        <v>3835</v>
      </c>
      <c r="AS857" t="s">
        <v>3836</v>
      </c>
      <c r="AT857" t="s">
        <v>10688</v>
      </c>
      <c r="AU857">
        <v>2000</v>
      </c>
      <c r="AV857">
        <v>109</v>
      </c>
      <c r="AW857">
        <v>3</v>
      </c>
      <c r="AX857" t="s">
        <v>74</v>
      </c>
      <c r="AY857" t="s">
        <v>74</v>
      </c>
      <c r="AZ857" t="s">
        <v>74</v>
      </c>
      <c r="BA857" t="s">
        <v>74</v>
      </c>
      <c r="BB857">
        <v>244</v>
      </c>
      <c r="BC857">
        <v>251</v>
      </c>
      <c r="BD857" t="s">
        <v>74</v>
      </c>
      <c r="BE857" t="s">
        <v>11347</v>
      </c>
      <c r="BF857" t="str">
        <f>HYPERLINK("http://dx.doi.org/10.1034/j.1399-3054.2000.100304.x","http://dx.doi.org/10.1034/j.1399-3054.2000.100304.x")</f>
        <v>http://dx.doi.org/10.1034/j.1399-3054.2000.100304.x</v>
      </c>
      <c r="BG857" t="s">
        <v>74</v>
      </c>
      <c r="BH857" t="s">
        <v>74</v>
      </c>
      <c r="BI857">
        <v>8</v>
      </c>
      <c r="BJ857" t="s">
        <v>3818</v>
      </c>
      <c r="BK857" t="s">
        <v>94</v>
      </c>
      <c r="BL857" t="s">
        <v>3818</v>
      </c>
      <c r="BM857" t="s">
        <v>11348</v>
      </c>
      <c r="BN857" t="s">
        <v>74</v>
      </c>
      <c r="BO857" t="s">
        <v>74</v>
      </c>
      <c r="BP857" t="s">
        <v>74</v>
      </c>
      <c r="BQ857" t="s">
        <v>74</v>
      </c>
      <c r="BR857" t="s">
        <v>97</v>
      </c>
      <c r="BS857" t="s">
        <v>11349</v>
      </c>
      <c r="BT857" t="str">
        <f>HYPERLINK("https%3A%2F%2Fwww.webofscience.com%2Fwos%2Fwoscc%2Ffull-record%2FWOS:000088190700004","View Full Record in Web of Science")</f>
        <v>View Full Record in Web of Science</v>
      </c>
    </row>
    <row r="858" spans="1:72" x14ac:dyDescent="0.15">
      <c r="A858" t="s">
        <v>72</v>
      </c>
      <c r="B858" t="s">
        <v>11350</v>
      </c>
      <c r="C858" t="s">
        <v>74</v>
      </c>
      <c r="D858" t="s">
        <v>74</v>
      </c>
      <c r="E858" t="s">
        <v>74</v>
      </c>
      <c r="F858" t="s">
        <v>11350</v>
      </c>
      <c r="G858" t="s">
        <v>74</v>
      </c>
      <c r="H858" t="s">
        <v>74</v>
      </c>
      <c r="I858" t="s">
        <v>11351</v>
      </c>
      <c r="J858" t="s">
        <v>3842</v>
      </c>
      <c r="K858" t="s">
        <v>74</v>
      </c>
      <c r="L858" t="s">
        <v>74</v>
      </c>
      <c r="M858" t="s">
        <v>77</v>
      </c>
      <c r="N858" t="s">
        <v>78</v>
      </c>
      <c r="O858" t="s">
        <v>74</v>
      </c>
      <c r="P858" t="s">
        <v>74</v>
      </c>
      <c r="Q858" t="s">
        <v>74</v>
      </c>
      <c r="R858" t="s">
        <v>74</v>
      </c>
      <c r="S858" t="s">
        <v>74</v>
      </c>
      <c r="T858" t="s">
        <v>74</v>
      </c>
      <c r="U858" t="s">
        <v>11352</v>
      </c>
      <c r="V858" t="s">
        <v>11353</v>
      </c>
      <c r="W858" t="s">
        <v>11354</v>
      </c>
      <c r="X858" t="s">
        <v>11355</v>
      </c>
      <c r="Y858" t="s">
        <v>11356</v>
      </c>
      <c r="Z858" t="s">
        <v>11357</v>
      </c>
      <c r="AA858" t="s">
        <v>74</v>
      </c>
      <c r="AB858" t="s">
        <v>74</v>
      </c>
      <c r="AC858" t="s">
        <v>74</v>
      </c>
      <c r="AD858" t="s">
        <v>74</v>
      </c>
      <c r="AE858" t="s">
        <v>74</v>
      </c>
      <c r="AF858" t="s">
        <v>74</v>
      </c>
      <c r="AG858">
        <v>37</v>
      </c>
      <c r="AH858">
        <v>22</v>
      </c>
      <c r="AI858">
        <v>24</v>
      </c>
      <c r="AJ858">
        <v>1</v>
      </c>
      <c r="AK858">
        <v>8</v>
      </c>
      <c r="AL858" t="s">
        <v>906</v>
      </c>
      <c r="AM858" t="s">
        <v>160</v>
      </c>
      <c r="AN858" t="s">
        <v>928</v>
      </c>
      <c r="AO858" t="s">
        <v>3848</v>
      </c>
      <c r="AP858" t="s">
        <v>3871</v>
      </c>
      <c r="AQ858" t="s">
        <v>74</v>
      </c>
      <c r="AR858" t="s">
        <v>3849</v>
      </c>
      <c r="AS858" t="s">
        <v>3850</v>
      </c>
      <c r="AT858" t="s">
        <v>10688</v>
      </c>
      <c r="AU858">
        <v>2000</v>
      </c>
      <c r="AV858">
        <v>23</v>
      </c>
      <c r="AW858">
        <v>7</v>
      </c>
      <c r="AX858" t="s">
        <v>74</v>
      </c>
      <c r="AY858" t="s">
        <v>74</v>
      </c>
      <c r="AZ858" t="s">
        <v>74</v>
      </c>
      <c r="BA858" t="s">
        <v>74</v>
      </c>
      <c r="BB858">
        <v>445</v>
      </c>
      <c r="BC858">
        <v>451</v>
      </c>
      <c r="BD858" t="s">
        <v>74</v>
      </c>
      <c r="BE858" t="s">
        <v>11358</v>
      </c>
      <c r="BF858" t="str">
        <f>HYPERLINK("http://dx.doi.org/10.1007/s003009900103","http://dx.doi.org/10.1007/s003009900103")</f>
        <v>http://dx.doi.org/10.1007/s003009900103</v>
      </c>
      <c r="BG858" t="s">
        <v>74</v>
      </c>
      <c r="BH858" t="s">
        <v>74</v>
      </c>
      <c r="BI858">
        <v>7</v>
      </c>
      <c r="BJ858" t="s">
        <v>3852</v>
      </c>
      <c r="BK858" t="s">
        <v>94</v>
      </c>
      <c r="BL858" t="s">
        <v>1103</v>
      </c>
      <c r="BM858" t="s">
        <v>11359</v>
      </c>
      <c r="BN858" t="s">
        <v>74</v>
      </c>
      <c r="BO858" t="s">
        <v>74</v>
      </c>
      <c r="BP858" t="s">
        <v>74</v>
      </c>
      <c r="BQ858" t="s">
        <v>74</v>
      </c>
      <c r="BR858" t="s">
        <v>97</v>
      </c>
      <c r="BS858" t="s">
        <v>11360</v>
      </c>
      <c r="BT858" t="str">
        <f>HYPERLINK("https%3A%2F%2Fwww.webofscience.com%2Fwos%2Fwoscc%2Ffull-record%2FWOS:000088181500001","View Full Record in Web of Science")</f>
        <v>View Full Record in Web of Science</v>
      </c>
    </row>
    <row r="859" spans="1:72" x14ac:dyDescent="0.15">
      <c r="A859" t="s">
        <v>72</v>
      </c>
      <c r="B859" t="s">
        <v>11361</v>
      </c>
      <c r="C859" t="s">
        <v>74</v>
      </c>
      <c r="D859" t="s">
        <v>74</v>
      </c>
      <c r="E859" t="s">
        <v>74</v>
      </c>
      <c r="F859" t="s">
        <v>11361</v>
      </c>
      <c r="G859" t="s">
        <v>74</v>
      </c>
      <c r="H859" t="s">
        <v>74</v>
      </c>
      <c r="I859" t="s">
        <v>11362</v>
      </c>
      <c r="J859" t="s">
        <v>3842</v>
      </c>
      <c r="K859" t="s">
        <v>74</v>
      </c>
      <c r="L859" t="s">
        <v>74</v>
      </c>
      <c r="M859" t="s">
        <v>77</v>
      </c>
      <c r="N859" t="s">
        <v>78</v>
      </c>
      <c r="O859" t="s">
        <v>74</v>
      </c>
      <c r="P859" t="s">
        <v>74</v>
      </c>
      <c r="Q859" t="s">
        <v>74</v>
      </c>
      <c r="R859" t="s">
        <v>74</v>
      </c>
      <c r="S859" t="s">
        <v>74</v>
      </c>
      <c r="T859" t="s">
        <v>74</v>
      </c>
      <c r="U859" t="s">
        <v>74</v>
      </c>
      <c r="V859" t="s">
        <v>11363</v>
      </c>
      <c r="W859" t="s">
        <v>11364</v>
      </c>
      <c r="X859" t="s">
        <v>11365</v>
      </c>
      <c r="Y859" t="s">
        <v>11366</v>
      </c>
      <c r="Z859" t="s">
        <v>11367</v>
      </c>
      <c r="AA859" t="s">
        <v>11368</v>
      </c>
      <c r="AB859" t="s">
        <v>11369</v>
      </c>
      <c r="AC859" t="s">
        <v>74</v>
      </c>
      <c r="AD859" t="s">
        <v>74</v>
      </c>
      <c r="AE859" t="s">
        <v>74</v>
      </c>
      <c r="AF859" t="s">
        <v>74</v>
      </c>
      <c r="AG859">
        <v>26</v>
      </c>
      <c r="AH859">
        <v>13</v>
      </c>
      <c r="AI859">
        <v>15</v>
      </c>
      <c r="AJ859">
        <v>0</v>
      </c>
      <c r="AK859">
        <v>7</v>
      </c>
      <c r="AL859" t="s">
        <v>906</v>
      </c>
      <c r="AM859" t="s">
        <v>160</v>
      </c>
      <c r="AN859" t="s">
        <v>890</v>
      </c>
      <c r="AO859" t="s">
        <v>3848</v>
      </c>
      <c r="AP859" t="s">
        <v>3871</v>
      </c>
      <c r="AQ859" t="s">
        <v>74</v>
      </c>
      <c r="AR859" t="s">
        <v>3849</v>
      </c>
      <c r="AS859" t="s">
        <v>3850</v>
      </c>
      <c r="AT859" t="s">
        <v>10688</v>
      </c>
      <c r="AU859">
        <v>2000</v>
      </c>
      <c r="AV859">
        <v>23</v>
      </c>
      <c r="AW859">
        <v>7</v>
      </c>
      <c r="AX859" t="s">
        <v>74</v>
      </c>
      <c r="AY859" t="s">
        <v>74</v>
      </c>
      <c r="AZ859" t="s">
        <v>74</v>
      </c>
      <c r="BA859" t="s">
        <v>74</v>
      </c>
      <c r="BB859">
        <v>452</v>
      </c>
      <c r="BC859">
        <v>458</v>
      </c>
      <c r="BD859" t="s">
        <v>74</v>
      </c>
      <c r="BE859" t="s">
        <v>11370</v>
      </c>
      <c r="BF859" t="str">
        <f>HYPERLINK("http://dx.doi.org/10.1007/s003009900105","http://dx.doi.org/10.1007/s003009900105")</f>
        <v>http://dx.doi.org/10.1007/s003009900105</v>
      </c>
      <c r="BG859" t="s">
        <v>74</v>
      </c>
      <c r="BH859" t="s">
        <v>74</v>
      </c>
      <c r="BI859">
        <v>7</v>
      </c>
      <c r="BJ859" t="s">
        <v>3852</v>
      </c>
      <c r="BK859" t="s">
        <v>94</v>
      </c>
      <c r="BL859" t="s">
        <v>1103</v>
      </c>
      <c r="BM859" t="s">
        <v>11359</v>
      </c>
      <c r="BN859" t="s">
        <v>74</v>
      </c>
      <c r="BO859" t="s">
        <v>74</v>
      </c>
      <c r="BP859" t="s">
        <v>74</v>
      </c>
      <c r="BQ859" t="s">
        <v>74</v>
      </c>
      <c r="BR859" t="s">
        <v>97</v>
      </c>
      <c r="BS859" t="s">
        <v>11371</v>
      </c>
      <c r="BT859" t="str">
        <f>HYPERLINK("https%3A%2F%2Fwww.webofscience.com%2Fwos%2Fwoscc%2Ffull-record%2FWOS:000088181500002","View Full Record in Web of Science")</f>
        <v>View Full Record in Web of Science</v>
      </c>
    </row>
    <row r="860" spans="1:72" x14ac:dyDescent="0.15">
      <c r="A860" t="s">
        <v>72</v>
      </c>
      <c r="B860" t="s">
        <v>11372</v>
      </c>
      <c r="C860" t="s">
        <v>74</v>
      </c>
      <c r="D860" t="s">
        <v>74</v>
      </c>
      <c r="E860" t="s">
        <v>74</v>
      </c>
      <c r="F860" t="s">
        <v>11372</v>
      </c>
      <c r="G860" t="s">
        <v>74</v>
      </c>
      <c r="H860" t="s">
        <v>74</v>
      </c>
      <c r="I860" t="s">
        <v>11373</v>
      </c>
      <c r="J860" t="s">
        <v>3842</v>
      </c>
      <c r="K860" t="s">
        <v>74</v>
      </c>
      <c r="L860" t="s">
        <v>74</v>
      </c>
      <c r="M860" t="s">
        <v>77</v>
      </c>
      <c r="N860" t="s">
        <v>78</v>
      </c>
      <c r="O860" t="s">
        <v>74</v>
      </c>
      <c r="P860" t="s">
        <v>74</v>
      </c>
      <c r="Q860" t="s">
        <v>74</v>
      </c>
      <c r="R860" t="s">
        <v>74</v>
      </c>
      <c r="S860" t="s">
        <v>74</v>
      </c>
      <c r="T860" t="s">
        <v>74</v>
      </c>
      <c r="U860" t="s">
        <v>11374</v>
      </c>
      <c r="V860" t="s">
        <v>11375</v>
      </c>
      <c r="W860" t="s">
        <v>11376</v>
      </c>
      <c r="X860" t="s">
        <v>74</v>
      </c>
      <c r="Y860" t="s">
        <v>11377</v>
      </c>
      <c r="Z860" t="s">
        <v>11378</v>
      </c>
      <c r="AA860" t="s">
        <v>74</v>
      </c>
      <c r="AB860" t="s">
        <v>74</v>
      </c>
      <c r="AC860" t="s">
        <v>74</v>
      </c>
      <c r="AD860" t="s">
        <v>74</v>
      </c>
      <c r="AE860" t="s">
        <v>74</v>
      </c>
      <c r="AF860" t="s">
        <v>74</v>
      </c>
      <c r="AG860">
        <v>62</v>
      </c>
      <c r="AH860">
        <v>37</v>
      </c>
      <c r="AI860">
        <v>47</v>
      </c>
      <c r="AJ860">
        <v>0</v>
      </c>
      <c r="AK860">
        <v>23</v>
      </c>
      <c r="AL860" t="s">
        <v>906</v>
      </c>
      <c r="AM860" t="s">
        <v>160</v>
      </c>
      <c r="AN860" t="s">
        <v>928</v>
      </c>
      <c r="AO860" t="s">
        <v>3848</v>
      </c>
      <c r="AP860" t="s">
        <v>3871</v>
      </c>
      <c r="AQ860" t="s">
        <v>74</v>
      </c>
      <c r="AR860" t="s">
        <v>3849</v>
      </c>
      <c r="AS860" t="s">
        <v>3850</v>
      </c>
      <c r="AT860" t="s">
        <v>10688</v>
      </c>
      <c r="AU860">
        <v>2000</v>
      </c>
      <c r="AV860">
        <v>23</v>
      </c>
      <c r="AW860">
        <v>7</v>
      </c>
      <c r="AX860" t="s">
        <v>74</v>
      </c>
      <c r="AY860" t="s">
        <v>74</v>
      </c>
      <c r="AZ860" t="s">
        <v>74</v>
      </c>
      <c r="BA860" t="s">
        <v>74</v>
      </c>
      <c r="BB860">
        <v>466</v>
      </c>
      <c r="BC860">
        <v>473</v>
      </c>
      <c r="BD860" t="s">
        <v>74</v>
      </c>
      <c r="BE860" t="s">
        <v>11379</v>
      </c>
      <c r="BF860" t="str">
        <f>HYPERLINK("http://dx.doi.org/10.1007/s003009900107","http://dx.doi.org/10.1007/s003009900107")</f>
        <v>http://dx.doi.org/10.1007/s003009900107</v>
      </c>
      <c r="BG860" t="s">
        <v>74</v>
      </c>
      <c r="BH860" t="s">
        <v>74</v>
      </c>
      <c r="BI860">
        <v>8</v>
      </c>
      <c r="BJ860" t="s">
        <v>3852</v>
      </c>
      <c r="BK860" t="s">
        <v>94</v>
      </c>
      <c r="BL860" t="s">
        <v>1103</v>
      </c>
      <c r="BM860" t="s">
        <v>11359</v>
      </c>
      <c r="BN860" t="s">
        <v>74</v>
      </c>
      <c r="BO860" t="s">
        <v>74</v>
      </c>
      <c r="BP860" t="s">
        <v>74</v>
      </c>
      <c r="BQ860" t="s">
        <v>74</v>
      </c>
      <c r="BR860" t="s">
        <v>97</v>
      </c>
      <c r="BS860" t="s">
        <v>11380</v>
      </c>
      <c r="BT860" t="str">
        <f>HYPERLINK("https%3A%2F%2Fwww.webofscience.com%2Fwos%2Fwoscc%2Ffull-record%2FWOS:000088181500004","View Full Record in Web of Science")</f>
        <v>View Full Record in Web of Science</v>
      </c>
    </row>
    <row r="861" spans="1:72" x14ac:dyDescent="0.15">
      <c r="A861" t="s">
        <v>72</v>
      </c>
      <c r="B861" t="s">
        <v>11381</v>
      </c>
      <c r="C861" t="s">
        <v>74</v>
      </c>
      <c r="D861" t="s">
        <v>74</v>
      </c>
      <c r="E861" t="s">
        <v>74</v>
      </c>
      <c r="F861" t="s">
        <v>11381</v>
      </c>
      <c r="G861" t="s">
        <v>74</v>
      </c>
      <c r="H861" t="s">
        <v>74</v>
      </c>
      <c r="I861" t="s">
        <v>11382</v>
      </c>
      <c r="J861" t="s">
        <v>3842</v>
      </c>
      <c r="K861" t="s">
        <v>74</v>
      </c>
      <c r="L861" t="s">
        <v>74</v>
      </c>
      <c r="M861" t="s">
        <v>77</v>
      </c>
      <c r="N861" t="s">
        <v>78</v>
      </c>
      <c r="O861" t="s">
        <v>74</v>
      </c>
      <c r="P861" t="s">
        <v>74</v>
      </c>
      <c r="Q861" t="s">
        <v>74</v>
      </c>
      <c r="R861" t="s">
        <v>74</v>
      </c>
      <c r="S861" t="s">
        <v>74</v>
      </c>
      <c r="T861" t="s">
        <v>74</v>
      </c>
      <c r="U861" t="s">
        <v>11383</v>
      </c>
      <c r="V861" t="s">
        <v>11384</v>
      </c>
      <c r="W861" t="s">
        <v>11385</v>
      </c>
      <c r="X861" t="s">
        <v>11386</v>
      </c>
      <c r="Y861" t="s">
        <v>11387</v>
      </c>
      <c r="Z861" t="s">
        <v>11388</v>
      </c>
      <c r="AA861" t="s">
        <v>11389</v>
      </c>
      <c r="AB861" t="s">
        <v>11390</v>
      </c>
      <c r="AC861" t="s">
        <v>74</v>
      </c>
      <c r="AD861" t="s">
        <v>74</v>
      </c>
      <c r="AE861" t="s">
        <v>74</v>
      </c>
      <c r="AF861" t="s">
        <v>74</v>
      </c>
      <c r="AG861">
        <v>48</v>
      </c>
      <c r="AH861">
        <v>55</v>
      </c>
      <c r="AI861">
        <v>61</v>
      </c>
      <c r="AJ861">
        <v>0</v>
      </c>
      <c r="AK861">
        <v>6</v>
      </c>
      <c r="AL861" t="s">
        <v>906</v>
      </c>
      <c r="AM861" t="s">
        <v>160</v>
      </c>
      <c r="AN861" t="s">
        <v>890</v>
      </c>
      <c r="AO861" t="s">
        <v>3848</v>
      </c>
      <c r="AP861" t="s">
        <v>3871</v>
      </c>
      <c r="AQ861" t="s">
        <v>74</v>
      </c>
      <c r="AR861" t="s">
        <v>3849</v>
      </c>
      <c r="AS861" t="s">
        <v>3850</v>
      </c>
      <c r="AT861" t="s">
        <v>10688</v>
      </c>
      <c r="AU861">
        <v>2000</v>
      </c>
      <c r="AV861">
        <v>23</v>
      </c>
      <c r="AW861">
        <v>7</v>
      </c>
      <c r="AX861" t="s">
        <v>74</v>
      </c>
      <c r="AY861" t="s">
        <v>74</v>
      </c>
      <c r="AZ861" t="s">
        <v>74</v>
      </c>
      <c r="BA861" t="s">
        <v>74</v>
      </c>
      <c r="BB861">
        <v>479</v>
      </c>
      <c r="BC861">
        <v>487</v>
      </c>
      <c r="BD861" t="s">
        <v>74</v>
      </c>
      <c r="BE861" t="s">
        <v>11391</v>
      </c>
      <c r="BF861" t="str">
        <f>HYPERLINK("http://dx.doi.org/10.1007/s003000000109","http://dx.doi.org/10.1007/s003000000109")</f>
        <v>http://dx.doi.org/10.1007/s003000000109</v>
      </c>
      <c r="BG861" t="s">
        <v>74</v>
      </c>
      <c r="BH861" t="s">
        <v>74</v>
      </c>
      <c r="BI861">
        <v>9</v>
      </c>
      <c r="BJ861" t="s">
        <v>3852</v>
      </c>
      <c r="BK861" t="s">
        <v>94</v>
      </c>
      <c r="BL861" t="s">
        <v>1103</v>
      </c>
      <c r="BM861" t="s">
        <v>11359</v>
      </c>
      <c r="BN861" t="s">
        <v>74</v>
      </c>
      <c r="BO861" t="s">
        <v>74</v>
      </c>
      <c r="BP861" t="s">
        <v>74</v>
      </c>
      <c r="BQ861" t="s">
        <v>74</v>
      </c>
      <c r="BR861" t="s">
        <v>97</v>
      </c>
      <c r="BS861" t="s">
        <v>11392</v>
      </c>
      <c r="BT861" t="str">
        <f>HYPERLINK("https%3A%2F%2Fwww.webofscience.com%2Fwos%2Fwoscc%2Ffull-record%2FWOS:000088181500006","View Full Record in Web of Science")</f>
        <v>View Full Record in Web of Science</v>
      </c>
    </row>
    <row r="862" spans="1:72" x14ac:dyDescent="0.15">
      <c r="A862" t="s">
        <v>72</v>
      </c>
      <c r="B862" t="s">
        <v>11393</v>
      </c>
      <c r="C862" t="s">
        <v>74</v>
      </c>
      <c r="D862" t="s">
        <v>74</v>
      </c>
      <c r="E862" t="s">
        <v>74</v>
      </c>
      <c r="F862" t="s">
        <v>11393</v>
      </c>
      <c r="G862" t="s">
        <v>74</v>
      </c>
      <c r="H862" t="s">
        <v>74</v>
      </c>
      <c r="I862" t="s">
        <v>11394</v>
      </c>
      <c r="J862" t="s">
        <v>3842</v>
      </c>
      <c r="K862" t="s">
        <v>74</v>
      </c>
      <c r="L862" t="s">
        <v>74</v>
      </c>
      <c r="M862" t="s">
        <v>77</v>
      </c>
      <c r="N862" t="s">
        <v>78</v>
      </c>
      <c r="O862" t="s">
        <v>74</v>
      </c>
      <c r="P862" t="s">
        <v>74</v>
      </c>
      <c r="Q862" t="s">
        <v>74</v>
      </c>
      <c r="R862" t="s">
        <v>74</v>
      </c>
      <c r="S862" t="s">
        <v>74</v>
      </c>
      <c r="T862" t="s">
        <v>74</v>
      </c>
      <c r="U862" t="s">
        <v>11395</v>
      </c>
      <c r="V862" t="s">
        <v>11396</v>
      </c>
      <c r="W862" t="s">
        <v>11397</v>
      </c>
      <c r="X862" t="s">
        <v>5132</v>
      </c>
      <c r="Y862" t="s">
        <v>11398</v>
      </c>
      <c r="Z862" t="s">
        <v>11399</v>
      </c>
      <c r="AA862" t="s">
        <v>11400</v>
      </c>
      <c r="AB862" t="s">
        <v>11401</v>
      </c>
      <c r="AC862" t="s">
        <v>74</v>
      </c>
      <c r="AD862" t="s">
        <v>74</v>
      </c>
      <c r="AE862" t="s">
        <v>74</v>
      </c>
      <c r="AF862" t="s">
        <v>74</v>
      </c>
      <c r="AG862">
        <v>25</v>
      </c>
      <c r="AH862">
        <v>30</v>
      </c>
      <c r="AI862">
        <v>30</v>
      </c>
      <c r="AJ862">
        <v>0</v>
      </c>
      <c r="AK862">
        <v>2</v>
      </c>
      <c r="AL862" t="s">
        <v>906</v>
      </c>
      <c r="AM862" t="s">
        <v>160</v>
      </c>
      <c r="AN862" t="s">
        <v>928</v>
      </c>
      <c r="AO862" t="s">
        <v>3848</v>
      </c>
      <c r="AP862" t="s">
        <v>3871</v>
      </c>
      <c r="AQ862" t="s">
        <v>74</v>
      </c>
      <c r="AR862" t="s">
        <v>3849</v>
      </c>
      <c r="AS862" t="s">
        <v>3850</v>
      </c>
      <c r="AT862" t="s">
        <v>10688</v>
      </c>
      <c r="AU862">
        <v>2000</v>
      </c>
      <c r="AV862">
        <v>23</v>
      </c>
      <c r="AW862">
        <v>7</v>
      </c>
      <c r="AX862" t="s">
        <v>74</v>
      </c>
      <c r="AY862" t="s">
        <v>74</v>
      </c>
      <c r="AZ862" t="s">
        <v>74</v>
      </c>
      <c r="BA862" t="s">
        <v>74</v>
      </c>
      <c r="BB862">
        <v>488</v>
      </c>
      <c r="BC862">
        <v>494</v>
      </c>
      <c r="BD862" t="s">
        <v>74</v>
      </c>
      <c r="BE862" t="s">
        <v>11402</v>
      </c>
      <c r="BF862" t="str">
        <f>HYPERLINK("http://dx.doi.org/10.1007/s003000000110","http://dx.doi.org/10.1007/s003000000110")</f>
        <v>http://dx.doi.org/10.1007/s003000000110</v>
      </c>
      <c r="BG862" t="s">
        <v>74</v>
      </c>
      <c r="BH862" t="s">
        <v>74</v>
      </c>
      <c r="BI862">
        <v>7</v>
      </c>
      <c r="BJ862" t="s">
        <v>3852</v>
      </c>
      <c r="BK862" t="s">
        <v>94</v>
      </c>
      <c r="BL862" t="s">
        <v>1103</v>
      </c>
      <c r="BM862" t="s">
        <v>11359</v>
      </c>
      <c r="BN862" t="s">
        <v>74</v>
      </c>
      <c r="BO862" t="s">
        <v>74</v>
      </c>
      <c r="BP862" t="s">
        <v>74</v>
      </c>
      <c r="BQ862" t="s">
        <v>74</v>
      </c>
      <c r="BR862" t="s">
        <v>97</v>
      </c>
      <c r="BS862" t="s">
        <v>11403</v>
      </c>
      <c r="BT862" t="str">
        <f>HYPERLINK("https%3A%2F%2Fwww.webofscience.com%2Fwos%2Fwoscc%2Ffull-record%2FWOS:000088181500007","View Full Record in Web of Science")</f>
        <v>View Full Record in Web of Science</v>
      </c>
    </row>
    <row r="863" spans="1:72" x14ac:dyDescent="0.15">
      <c r="A863" t="s">
        <v>72</v>
      </c>
      <c r="B863" t="s">
        <v>11404</v>
      </c>
      <c r="C863" t="s">
        <v>74</v>
      </c>
      <c r="D863" t="s">
        <v>74</v>
      </c>
      <c r="E863" t="s">
        <v>74</v>
      </c>
      <c r="F863" t="s">
        <v>11404</v>
      </c>
      <c r="G863" t="s">
        <v>74</v>
      </c>
      <c r="H863" t="s">
        <v>74</v>
      </c>
      <c r="I863" t="s">
        <v>11405</v>
      </c>
      <c r="J863" t="s">
        <v>11406</v>
      </c>
      <c r="K863" t="s">
        <v>74</v>
      </c>
      <c r="L863" t="s">
        <v>74</v>
      </c>
      <c r="M863" t="s">
        <v>77</v>
      </c>
      <c r="N863" t="s">
        <v>78</v>
      </c>
      <c r="O863" t="s">
        <v>74</v>
      </c>
      <c r="P863" t="s">
        <v>74</v>
      </c>
      <c r="Q863" t="s">
        <v>74</v>
      </c>
      <c r="R863" t="s">
        <v>74</v>
      </c>
      <c r="S863" t="s">
        <v>74</v>
      </c>
      <c r="T863" t="s">
        <v>11407</v>
      </c>
      <c r="U863" t="s">
        <v>11408</v>
      </c>
      <c r="V863" t="s">
        <v>11409</v>
      </c>
      <c r="W863" t="s">
        <v>11410</v>
      </c>
      <c r="X863" t="s">
        <v>11411</v>
      </c>
      <c r="Y863" t="s">
        <v>11412</v>
      </c>
      <c r="Z863" t="s">
        <v>74</v>
      </c>
      <c r="AA863" t="s">
        <v>74</v>
      </c>
      <c r="AB863" t="s">
        <v>74</v>
      </c>
      <c r="AC863" t="s">
        <v>74</v>
      </c>
      <c r="AD863" t="s">
        <v>74</v>
      </c>
      <c r="AE863" t="s">
        <v>74</v>
      </c>
      <c r="AF863" t="s">
        <v>74</v>
      </c>
      <c r="AG863">
        <v>59</v>
      </c>
      <c r="AH863">
        <v>14</v>
      </c>
      <c r="AI863">
        <v>15</v>
      </c>
      <c r="AJ863">
        <v>0</v>
      </c>
      <c r="AK863">
        <v>9</v>
      </c>
      <c r="AL863" t="s">
        <v>11413</v>
      </c>
      <c r="AM863" t="s">
        <v>11414</v>
      </c>
      <c r="AN863" t="s">
        <v>11415</v>
      </c>
      <c r="AO863" t="s">
        <v>11416</v>
      </c>
      <c r="AP863" t="s">
        <v>74</v>
      </c>
      <c r="AQ863" t="s">
        <v>74</v>
      </c>
      <c r="AR863" t="s">
        <v>11417</v>
      </c>
      <c r="AS863" t="s">
        <v>11418</v>
      </c>
      <c r="AT863" t="s">
        <v>10688</v>
      </c>
      <c r="AU863">
        <v>2000</v>
      </c>
      <c r="AV863">
        <v>27</v>
      </c>
      <c r="AW863">
        <v>1</v>
      </c>
      <c r="AX863" t="s">
        <v>74</v>
      </c>
      <c r="AY863" t="s">
        <v>74</v>
      </c>
      <c r="AZ863" t="s">
        <v>74</v>
      </c>
      <c r="BA863" t="s">
        <v>74</v>
      </c>
      <c r="BB863">
        <v>49</v>
      </c>
      <c r="BC863">
        <v>63</v>
      </c>
      <c r="BD863" t="s">
        <v>74</v>
      </c>
      <c r="BE863" t="s">
        <v>74</v>
      </c>
      <c r="BF863" t="s">
        <v>74</v>
      </c>
      <c r="BG863" t="s">
        <v>74</v>
      </c>
      <c r="BH863" t="s">
        <v>74</v>
      </c>
      <c r="BI863">
        <v>15</v>
      </c>
      <c r="BJ863" t="s">
        <v>597</v>
      </c>
      <c r="BK863" t="s">
        <v>94</v>
      </c>
      <c r="BL863" t="s">
        <v>597</v>
      </c>
      <c r="BM863" t="s">
        <v>11419</v>
      </c>
      <c r="BN863" t="s">
        <v>74</v>
      </c>
      <c r="BO863" t="s">
        <v>74</v>
      </c>
      <c r="BP863" t="s">
        <v>74</v>
      </c>
      <c r="BQ863" t="s">
        <v>74</v>
      </c>
      <c r="BR863" t="s">
        <v>97</v>
      </c>
      <c r="BS863" t="s">
        <v>11420</v>
      </c>
      <c r="BT863" t="str">
        <f>HYPERLINK("https%3A%2F%2Fwww.webofscience.com%2Fwos%2Fwoscc%2Ffull-record%2FWOS:000088572000004","View Full Record in Web of Science")</f>
        <v>View Full Record in Web of Science</v>
      </c>
    </row>
    <row r="864" spans="1:72" x14ac:dyDescent="0.15">
      <c r="A864" t="s">
        <v>72</v>
      </c>
      <c r="B864" t="s">
        <v>11421</v>
      </c>
      <c r="C864" t="s">
        <v>74</v>
      </c>
      <c r="D864" t="s">
        <v>74</v>
      </c>
      <c r="E864" t="s">
        <v>74</v>
      </c>
      <c r="F864" t="s">
        <v>11421</v>
      </c>
      <c r="G864" t="s">
        <v>74</v>
      </c>
      <c r="H864" t="s">
        <v>74</v>
      </c>
      <c r="I864" t="s">
        <v>11422</v>
      </c>
      <c r="J864" t="s">
        <v>11423</v>
      </c>
      <c r="K864" t="s">
        <v>74</v>
      </c>
      <c r="L864" t="s">
        <v>74</v>
      </c>
      <c r="M864" t="s">
        <v>77</v>
      </c>
      <c r="N864" t="s">
        <v>78</v>
      </c>
      <c r="O864" t="s">
        <v>74</v>
      </c>
      <c r="P864" t="s">
        <v>74</v>
      </c>
      <c r="Q864" t="s">
        <v>74</v>
      </c>
      <c r="R864" t="s">
        <v>74</v>
      </c>
      <c r="S864" t="s">
        <v>74</v>
      </c>
      <c r="T864" t="s">
        <v>74</v>
      </c>
      <c r="U864" t="s">
        <v>74</v>
      </c>
      <c r="V864" t="s">
        <v>74</v>
      </c>
      <c r="W864" t="s">
        <v>74</v>
      </c>
      <c r="X864" t="s">
        <v>74</v>
      </c>
      <c r="Y864" t="s">
        <v>74</v>
      </c>
      <c r="Z864" t="s">
        <v>74</v>
      </c>
      <c r="AA864" t="s">
        <v>74</v>
      </c>
      <c r="AB864" t="s">
        <v>74</v>
      </c>
      <c r="AC864" t="s">
        <v>74</v>
      </c>
      <c r="AD864" t="s">
        <v>74</v>
      </c>
      <c r="AE864" t="s">
        <v>74</v>
      </c>
      <c r="AF864" t="s">
        <v>74</v>
      </c>
      <c r="AG864">
        <v>3</v>
      </c>
      <c r="AH864">
        <v>1</v>
      </c>
      <c r="AI864">
        <v>1</v>
      </c>
      <c r="AJ864">
        <v>0</v>
      </c>
      <c r="AK864">
        <v>1</v>
      </c>
      <c r="AL864" t="s">
        <v>11424</v>
      </c>
      <c r="AM864" t="s">
        <v>1060</v>
      </c>
      <c r="AN864" t="s">
        <v>11425</v>
      </c>
      <c r="AO864" t="s">
        <v>11426</v>
      </c>
      <c r="AP864" t="s">
        <v>74</v>
      </c>
      <c r="AQ864" t="s">
        <v>74</v>
      </c>
      <c r="AR864" t="s">
        <v>11423</v>
      </c>
      <c r="AS864" t="s">
        <v>11427</v>
      </c>
      <c r="AT864" t="s">
        <v>10688</v>
      </c>
      <c r="AU864">
        <v>2000</v>
      </c>
      <c r="AV864">
        <v>31</v>
      </c>
      <c r="AW864">
        <v>4</v>
      </c>
      <c r="AX864" t="s">
        <v>74</v>
      </c>
      <c r="AY864" t="s">
        <v>74</v>
      </c>
      <c r="AZ864" t="s">
        <v>74</v>
      </c>
      <c r="BA864" t="s">
        <v>74</v>
      </c>
      <c r="BB864">
        <v>92</v>
      </c>
      <c r="BC864" t="s">
        <v>1484</v>
      </c>
      <c r="BD864" t="s">
        <v>74</v>
      </c>
      <c r="BE864" t="s">
        <v>74</v>
      </c>
      <c r="BF864" t="s">
        <v>74</v>
      </c>
      <c r="BG864" t="s">
        <v>74</v>
      </c>
      <c r="BH864" t="s">
        <v>74</v>
      </c>
      <c r="BI864">
        <v>0</v>
      </c>
      <c r="BJ864" t="s">
        <v>11428</v>
      </c>
      <c r="BK864" t="s">
        <v>5427</v>
      </c>
      <c r="BL864" t="s">
        <v>11429</v>
      </c>
      <c r="BM864" t="s">
        <v>11430</v>
      </c>
      <c r="BN864" t="s">
        <v>74</v>
      </c>
      <c r="BO864" t="s">
        <v>74</v>
      </c>
      <c r="BP864" t="s">
        <v>74</v>
      </c>
      <c r="BQ864" t="s">
        <v>74</v>
      </c>
      <c r="BR864" t="s">
        <v>97</v>
      </c>
      <c r="BS864" t="s">
        <v>11431</v>
      </c>
      <c r="BT864" t="str">
        <f>HYPERLINK("https%3A%2F%2Fwww.webofscience.com%2Fwos%2Fwoscc%2Ffull-record%2FWOS:000087832000020","View Full Record in Web of Science")</f>
        <v>View Full Record in Web of Science</v>
      </c>
    </row>
    <row r="865" spans="1:72" x14ac:dyDescent="0.15">
      <c r="A865" t="s">
        <v>72</v>
      </c>
      <c r="B865" t="s">
        <v>11432</v>
      </c>
      <c r="C865" t="s">
        <v>74</v>
      </c>
      <c r="D865" t="s">
        <v>74</v>
      </c>
      <c r="E865" t="s">
        <v>74</v>
      </c>
      <c r="F865" t="s">
        <v>11432</v>
      </c>
      <c r="G865" t="s">
        <v>74</v>
      </c>
      <c r="H865" t="s">
        <v>74</v>
      </c>
      <c r="I865" t="s">
        <v>11433</v>
      </c>
      <c r="J865" t="s">
        <v>11434</v>
      </c>
      <c r="K865" t="s">
        <v>74</v>
      </c>
      <c r="L865" t="s">
        <v>74</v>
      </c>
      <c r="M865" t="s">
        <v>77</v>
      </c>
      <c r="N865" t="s">
        <v>236</v>
      </c>
      <c r="O865" t="s">
        <v>74</v>
      </c>
      <c r="P865" t="s">
        <v>74</v>
      </c>
      <c r="Q865" t="s">
        <v>74</v>
      </c>
      <c r="R865" t="s">
        <v>74</v>
      </c>
      <c r="S865" t="s">
        <v>74</v>
      </c>
      <c r="T865" t="s">
        <v>74</v>
      </c>
      <c r="U865" t="s">
        <v>11435</v>
      </c>
      <c r="V865" t="s">
        <v>11436</v>
      </c>
      <c r="W865" t="s">
        <v>11437</v>
      </c>
      <c r="X865" t="s">
        <v>11438</v>
      </c>
      <c r="Y865" t="s">
        <v>11439</v>
      </c>
      <c r="Z865" t="s">
        <v>11440</v>
      </c>
      <c r="AA865" t="s">
        <v>11441</v>
      </c>
      <c r="AB865" t="s">
        <v>11442</v>
      </c>
      <c r="AC865" t="s">
        <v>74</v>
      </c>
      <c r="AD865" t="s">
        <v>74</v>
      </c>
      <c r="AE865" t="s">
        <v>74</v>
      </c>
      <c r="AF865" t="s">
        <v>74</v>
      </c>
      <c r="AG865">
        <v>35</v>
      </c>
      <c r="AH865">
        <v>58</v>
      </c>
      <c r="AI865">
        <v>68</v>
      </c>
      <c r="AJ865">
        <v>0</v>
      </c>
      <c r="AK865">
        <v>18</v>
      </c>
      <c r="AL865" t="s">
        <v>11443</v>
      </c>
      <c r="AM865" t="s">
        <v>1208</v>
      </c>
      <c r="AN865" t="s">
        <v>11444</v>
      </c>
      <c r="AO865" t="s">
        <v>11445</v>
      </c>
      <c r="AP865" t="s">
        <v>11446</v>
      </c>
      <c r="AQ865" t="s">
        <v>74</v>
      </c>
      <c r="AR865" t="s">
        <v>11447</v>
      </c>
      <c r="AS865" t="s">
        <v>11448</v>
      </c>
      <c r="AT865" t="s">
        <v>10688</v>
      </c>
      <c r="AU865">
        <v>2000</v>
      </c>
      <c r="AV865">
        <v>15</v>
      </c>
      <c r="AW865">
        <v>7</v>
      </c>
      <c r="AX865" t="s">
        <v>74</v>
      </c>
      <c r="AY865" t="s">
        <v>74</v>
      </c>
      <c r="AZ865" t="s">
        <v>74</v>
      </c>
      <c r="BA865" t="s">
        <v>74</v>
      </c>
      <c r="BB865">
        <v>267</v>
      </c>
      <c r="BC865">
        <v>271</v>
      </c>
      <c r="BD865" t="s">
        <v>74</v>
      </c>
      <c r="BE865" t="s">
        <v>11449</v>
      </c>
      <c r="BF865" t="str">
        <f>HYPERLINK("http://dx.doi.org/10.1016/S0169-5347(00)01896-6","http://dx.doi.org/10.1016/S0169-5347(00)01896-6")</f>
        <v>http://dx.doi.org/10.1016/S0169-5347(00)01896-6</v>
      </c>
      <c r="BG865" t="s">
        <v>74</v>
      </c>
      <c r="BH865" t="s">
        <v>74</v>
      </c>
      <c r="BI865">
        <v>5</v>
      </c>
      <c r="BJ865" t="s">
        <v>11000</v>
      </c>
      <c r="BK865" t="s">
        <v>94</v>
      </c>
      <c r="BL865" t="s">
        <v>11001</v>
      </c>
      <c r="BM865" t="s">
        <v>11450</v>
      </c>
      <c r="BN865">
        <v>10856946</v>
      </c>
      <c r="BO865" t="s">
        <v>74</v>
      </c>
      <c r="BP865" t="s">
        <v>74</v>
      </c>
      <c r="BQ865" t="s">
        <v>74</v>
      </c>
      <c r="BR865" t="s">
        <v>97</v>
      </c>
      <c r="BS865" t="s">
        <v>11451</v>
      </c>
      <c r="BT865" t="str">
        <f>HYPERLINK("https%3A%2F%2Fwww.webofscience.com%2Fwos%2Fwoscc%2Ffull-record%2FWOS:000087831100006","View Full Record in Web of Science")</f>
        <v>View Full Record in Web of Science</v>
      </c>
    </row>
    <row r="866" spans="1:72" x14ac:dyDescent="0.15">
      <c r="A866" t="s">
        <v>72</v>
      </c>
      <c r="B866" t="s">
        <v>11452</v>
      </c>
      <c r="C866" t="s">
        <v>74</v>
      </c>
      <c r="D866" t="s">
        <v>74</v>
      </c>
      <c r="E866" t="s">
        <v>74</v>
      </c>
      <c r="F866" t="s">
        <v>11452</v>
      </c>
      <c r="G866" t="s">
        <v>74</v>
      </c>
      <c r="H866" t="s">
        <v>74</v>
      </c>
      <c r="I866" t="s">
        <v>11453</v>
      </c>
      <c r="J866" t="s">
        <v>4772</v>
      </c>
      <c r="K866" t="s">
        <v>74</v>
      </c>
      <c r="L866" t="s">
        <v>74</v>
      </c>
      <c r="M866" t="s">
        <v>77</v>
      </c>
      <c r="N866" t="s">
        <v>78</v>
      </c>
      <c r="O866" t="s">
        <v>74</v>
      </c>
      <c r="P866" t="s">
        <v>74</v>
      </c>
      <c r="Q866" t="s">
        <v>74</v>
      </c>
      <c r="R866" t="s">
        <v>74</v>
      </c>
      <c r="S866" t="s">
        <v>74</v>
      </c>
      <c r="T866" t="s">
        <v>74</v>
      </c>
      <c r="U866" t="s">
        <v>11454</v>
      </c>
      <c r="V866" t="s">
        <v>11455</v>
      </c>
      <c r="W866" t="s">
        <v>11456</v>
      </c>
      <c r="X866" t="s">
        <v>11457</v>
      </c>
      <c r="Y866" t="s">
        <v>11458</v>
      </c>
      <c r="Z866" t="s">
        <v>11459</v>
      </c>
      <c r="AA866" t="s">
        <v>11460</v>
      </c>
      <c r="AB866" t="s">
        <v>11461</v>
      </c>
      <c r="AC866" t="s">
        <v>74</v>
      </c>
      <c r="AD866" t="s">
        <v>74</v>
      </c>
      <c r="AE866" t="s">
        <v>74</v>
      </c>
      <c r="AF866" t="s">
        <v>74</v>
      </c>
      <c r="AG866">
        <v>49</v>
      </c>
      <c r="AH866">
        <v>38</v>
      </c>
      <c r="AI866">
        <v>38</v>
      </c>
      <c r="AJ866">
        <v>0</v>
      </c>
      <c r="AK866">
        <v>3</v>
      </c>
      <c r="AL866" t="s">
        <v>1059</v>
      </c>
      <c r="AM866" t="s">
        <v>1060</v>
      </c>
      <c r="AN866" t="s">
        <v>1061</v>
      </c>
      <c r="AO866" t="s">
        <v>4798</v>
      </c>
      <c r="AP866" t="s">
        <v>4799</v>
      </c>
      <c r="AQ866" t="s">
        <v>74</v>
      </c>
      <c r="AR866" t="s">
        <v>4781</v>
      </c>
      <c r="AS866" t="s">
        <v>4782</v>
      </c>
      <c r="AT866" t="s">
        <v>11462</v>
      </c>
      <c r="AU866">
        <v>2000</v>
      </c>
      <c r="AV866">
        <v>105</v>
      </c>
      <c r="AW866" t="s">
        <v>11463</v>
      </c>
      <c r="AX866" t="s">
        <v>74</v>
      </c>
      <c r="AY866" t="s">
        <v>74</v>
      </c>
      <c r="AZ866" t="s">
        <v>74</v>
      </c>
      <c r="BA866" t="s">
        <v>74</v>
      </c>
      <c r="BB866">
        <v>15175</v>
      </c>
      <c r="BC866">
        <v>15184</v>
      </c>
      <c r="BD866" t="s">
        <v>74</v>
      </c>
      <c r="BE866" t="s">
        <v>11464</v>
      </c>
      <c r="BF866" t="str">
        <f>HYPERLINK("http://dx.doi.org/10.1029/2000JD900056","http://dx.doi.org/10.1029/2000JD900056")</f>
        <v>http://dx.doi.org/10.1029/2000JD900056</v>
      </c>
      <c r="BG866" t="s">
        <v>74</v>
      </c>
      <c r="BH866" t="s">
        <v>74</v>
      </c>
      <c r="BI866">
        <v>10</v>
      </c>
      <c r="BJ866" t="s">
        <v>167</v>
      </c>
      <c r="BK866" t="s">
        <v>94</v>
      </c>
      <c r="BL866" t="s">
        <v>167</v>
      </c>
      <c r="BM866" t="s">
        <v>11465</v>
      </c>
      <c r="BN866" t="s">
        <v>74</v>
      </c>
      <c r="BO866" t="s">
        <v>2097</v>
      </c>
      <c r="BP866" t="s">
        <v>74</v>
      </c>
      <c r="BQ866" t="s">
        <v>74</v>
      </c>
      <c r="BR866" t="s">
        <v>97</v>
      </c>
      <c r="BS866" t="s">
        <v>11466</v>
      </c>
      <c r="BT866" t="str">
        <f>HYPERLINK("https%3A%2F%2Fwww.webofscience.com%2Fwos%2Fwoscc%2Ffull-record%2FWOS:000087844900005","View Full Record in Web of Science")</f>
        <v>View Full Record in Web of Science</v>
      </c>
    </row>
    <row r="867" spans="1:72" x14ac:dyDescent="0.15">
      <c r="A867" t="s">
        <v>72</v>
      </c>
      <c r="B867" t="s">
        <v>11467</v>
      </c>
      <c r="C867" t="s">
        <v>74</v>
      </c>
      <c r="D867" t="s">
        <v>74</v>
      </c>
      <c r="E867" t="s">
        <v>74</v>
      </c>
      <c r="F867" t="s">
        <v>11467</v>
      </c>
      <c r="G867" t="s">
        <v>74</v>
      </c>
      <c r="H867" t="s">
        <v>74</v>
      </c>
      <c r="I867" t="s">
        <v>11468</v>
      </c>
      <c r="J867" t="s">
        <v>11469</v>
      </c>
      <c r="K867" t="s">
        <v>74</v>
      </c>
      <c r="L867" t="s">
        <v>74</v>
      </c>
      <c r="M867" t="s">
        <v>77</v>
      </c>
      <c r="N867" t="s">
        <v>78</v>
      </c>
      <c r="O867" t="s">
        <v>74</v>
      </c>
      <c r="P867" t="s">
        <v>74</v>
      </c>
      <c r="Q867" t="s">
        <v>74</v>
      </c>
      <c r="R867" t="s">
        <v>74</v>
      </c>
      <c r="S867" t="s">
        <v>74</v>
      </c>
      <c r="T867" t="s">
        <v>11470</v>
      </c>
      <c r="U867" t="s">
        <v>11471</v>
      </c>
      <c r="V867" t="s">
        <v>11472</v>
      </c>
      <c r="W867" t="s">
        <v>3869</v>
      </c>
      <c r="X867" t="s">
        <v>667</v>
      </c>
      <c r="Y867" t="s">
        <v>1291</v>
      </c>
      <c r="Z867" t="s">
        <v>11473</v>
      </c>
      <c r="AA867" t="s">
        <v>74</v>
      </c>
      <c r="AB867" t="s">
        <v>74</v>
      </c>
      <c r="AC867" t="s">
        <v>74</v>
      </c>
      <c r="AD867" t="s">
        <v>74</v>
      </c>
      <c r="AE867" t="s">
        <v>74</v>
      </c>
      <c r="AF867" t="s">
        <v>74</v>
      </c>
      <c r="AG867">
        <v>43</v>
      </c>
      <c r="AH867">
        <v>30</v>
      </c>
      <c r="AI867">
        <v>32</v>
      </c>
      <c r="AJ867">
        <v>2</v>
      </c>
      <c r="AK867">
        <v>16</v>
      </c>
      <c r="AL867" t="s">
        <v>2823</v>
      </c>
      <c r="AM867" t="s">
        <v>2824</v>
      </c>
      <c r="AN867" t="s">
        <v>2825</v>
      </c>
      <c r="AO867" t="s">
        <v>11474</v>
      </c>
      <c r="AP867" t="s">
        <v>11475</v>
      </c>
      <c r="AQ867" t="s">
        <v>74</v>
      </c>
      <c r="AR867" t="s">
        <v>11476</v>
      </c>
      <c r="AS867" t="s">
        <v>11477</v>
      </c>
      <c r="AT867" t="s">
        <v>11478</v>
      </c>
      <c r="AU867">
        <v>2000</v>
      </c>
      <c r="AV867">
        <v>21</v>
      </c>
      <c r="AW867">
        <v>3</v>
      </c>
      <c r="AX867" t="s">
        <v>74</v>
      </c>
      <c r="AY867" t="s">
        <v>74</v>
      </c>
      <c r="AZ867" t="s">
        <v>74</v>
      </c>
      <c r="BA867" t="s">
        <v>74</v>
      </c>
      <c r="BB867">
        <v>257</v>
      </c>
      <c r="BC867">
        <v>264</v>
      </c>
      <c r="BD867" t="s">
        <v>74</v>
      </c>
      <c r="BE867" t="s">
        <v>11479</v>
      </c>
      <c r="BF867" t="str">
        <f>HYPERLINK("http://dx.doi.org/10.3354/ame021257","http://dx.doi.org/10.3354/ame021257")</f>
        <v>http://dx.doi.org/10.3354/ame021257</v>
      </c>
      <c r="BG867" t="s">
        <v>74</v>
      </c>
      <c r="BH867" t="s">
        <v>74</v>
      </c>
      <c r="BI867">
        <v>8</v>
      </c>
      <c r="BJ867" t="s">
        <v>3402</v>
      </c>
      <c r="BK867" t="s">
        <v>94</v>
      </c>
      <c r="BL867" t="s">
        <v>3403</v>
      </c>
      <c r="BM867" t="s">
        <v>11480</v>
      </c>
      <c r="BN867" t="s">
        <v>74</v>
      </c>
      <c r="BO867" t="s">
        <v>1755</v>
      </c>
      <c r="BP867" t="s">
        <v>74</v>
      </c>
      <c r="BQ867" t="s">
        <v>74</v>
      </c>
      <c r="BR867" t="s">
        <v>97</v>
      </c>
      <c r="BS867" t="s">
        <v>11481</v>
      </c>
      <c r="BT867" t="str">
        <f>HYPERLINK("https%3A%2F%2Fwww.webofscience.com%2Fwos%2Fwoscc%2Ffull-record%2FWOS:000087813000005","View Full Record in Web of Science")</f>
        <v>View Full Record in Web of Science</v>
      </c>
    </row>
    <row r="868" spans="1:72" x14ac:dyDescent="0.15">
      <c r="A868" t="s">
        <v>72</v>
      </c>
      <c r="B868" t="s">
        <v>11482</v>
      </c>
      <c r="C868" t="s">
        <v>74</v>
      </c>
      <c r="D868" t="s">
        <v>74</v>
      </c>
      <c r="E868" t="s">
        <v>74</v>
      </c>
      <c r="F868" t="s">
        <v>11482</v>
      </c>
      <c r="G868" t="s">
        <v>74</v>
      </c>
      <c r="H868" t="s">
        <v>74</v>
      </c>
      <c r="I868" t="s">
        <v>11483</v>
      </c>
      <c r="J868" t="s">
        <v>11469</v>
      </c>
      <c r="K868" t="s">
        <v>74</v>
      </c>
      <c r="L868" t="s">
        <v>74</v>
      </c>
      <c r="M868" t="s">
        <v>77</v>
      </c>
      <c r="N868" t="s">
        <v>78</v>
      </c>
      <c r="O868" t="s">
        <v>74</v>
      </c>
      <c r="P868" t="s">
        <v>74</v>
      </c>
      <c r="Q868" t="s">
        <v>74</v>
      </c>
      <c r="R868" t="s">
        <v>74</v>
      </c>
      <c r="S868" t="s">
        <v>74</v>
      </c>
      <c r="T868" t="s">
        <v>11484</v>
      </c>
      <c r="U868" t="s">
        <v>11485</v>
      </c>
      <c r="V868" t="s">
        <v>11486</v>
      </c>
      <c r="W868" t="s">
        <v>11487</v>
      </c>
      <c r="X868" t="s">
        <v>10032</v>
      </c>
      <c r="Y868" t="s">
        <v>11488</v>
      </c>
      <c r="Z868" t="s">
        <v>74</v>
      </c>
      <c r="AA868" t="s">
        <v>11489</v>
      </c>
      <c r="AB868" t="s">
        <v>11490</v>
      </c>
      <c r="AC868" t="s">
        <v>74</v>
      </c>
      <c r="AD868" t="s">
        <v>74</v>
      </c>
      <c r="AE868" t="s">
        <v>74</v>
      </c>
      <c r="AF868" t="s">
        <v>74</v>
      </c>
      <c r="AG868">
        <v>65</v>
      </c>
      <c r="AH868">
        <v>22</v>
      </c>
      <c r="AI868">
        <v>26</v>
      </c>
      <c r="AJ868">
        <v>0</v>
      </c>
      <c r="AK868">
        <v>14</v>
      </c>
      <c r="AL868" t="s">
        <v>2823</v>
      </c>
      <c r="AM868" t="s">
        <v>2824</v>
      </c>
      <c r="AN868" t="s">
        <v>2825</v>
      </c>
      <c r="AO868" t="s">
        <v>11474</v>
      </c>
      <c r="AP868" t="s">
        <v>74</v>
      </c>
      <c r="AQ868" t="s">
        <v>74</v>
      </c>
      <c r="AR868" t="s">
        <v>11476</v>
      </c>
      <c r="AS868" t="s">
        <v>11477</v>
      </c>
      <c r="AT868" t="s">
        <v>11478</v>
      </c>
      <c r="AU868">
        <v>2000</v>
      </c>
      <c r="AV868">
        <v>21</v>
      </c>
      <c r="AW868">
        <v>3</v>
      </c>
      <c r="AX868" t="s">
        <v>74</v>
      </c>
      <c r="AY868" t="s">
        <v>74</v>
      </c>
      <c r="AZ868" t="s">
        <v>74</v>
      </c>
      <c r="BA868" t="s">
        <v>74</v>
      </c>
      <c r="BB868">
        <v>265</v>
      </c>
      <c r="BC868">
        <v>273</v>
      </c>
      <c r="BD868" t="s">
        <v>74</v>
      </c>
      <c r="BE868" t="s">
        <v>11491</v>
      </c>
      <c r="BF868" t="str">
        <f>HYPERLINK("http://dx.doi.org/10.3354/ame021265","http://dx.doi.org/10.3354/ame021265")</f>
        <v>http://dx.doi.org/10.3354/ame021265</v>
      </c>
      <c r="BG868" t="s">
        <v>74</v>
      </c>
      <c r="BH868" t="s">
        <v>74</v>
      </c>
      <c r="BI868">
        <v>9</v>
      </c>
      <c r="BJ868" t="s">
        <v>3402</v>
      </c>
      <c r="BK868" t="s">
        <v>94</v>
      </c>
      <c r="BL868" t="s">
        <v>3403</v>
      </c>
      <c r="BM868" t="s">
        <v>11480</v>
      </c>
      <c r="BN868" t="s">
        <v>74</v>
      </c>
      <c r="BO868" t="s">
        <v>2294</v>
      </c>
      <c r="BP868" t="s">
        <v>74</v>
      </c>
      <c r="BQ868" t="s">
        <v>74</v>
      </c>
      <c r="BR868" t="s">
        <v>97</v>
      </c>
      <c r="BS868" t="s">
        <v>11492</v>
      </c>
      <c r="BT868" t="str">
        <f>HYPERLINK("https%3A%2F%2Fwww.webofscience.com%2Fwos%2Fwoscc%2Ffull-record%2FWOS:000087813000006","View Full Record in Web of Science")</f>
        <v>View Full Record in Web of Science</v>
      </c>
    </row>
    <row r="869" spans="1:72" x14ac:dyDescent="0.15">
      <c r="A869" t="s">
        <v>72</v>
      </c>
      <c r="B869" t="s">
        <v>11493</v>
      </c>
      <c r="C869" t="s">
        <v>74</v>
      </c>
      <c r="D869" t="s">
        <v>74</v>
      </c>
      <c r="E869" t="s">
        <v>74</v>
      </c>
      <c r="F869" t="s">
        <v>11493</v>
      </c>
      <c r="G869" t="s">
        <v>74</v>
      </c>
      <c r="H869" t="s">
        <v>74</v>
      </c>
      <c r="I869" t="s">
        <v>11494</v>
      </c>
      <c r="J869" t="s">
        <v>11469</v>
      </c>
      <c r="K869" t="s">
        <v>74</v>
      </c>
      <c r="L869" t="s">
        <v>74</v>
      </c>
      <c r="M869" t="s">
        <v>77</v>
      </c>
      <c r="N869" t="s">
        <v>78</v>
      </c>
      <c r="O869" t="s">
        <v>74</v>
      </c>
      <c r="P869" t="s">
        <v>74</v>
      </c>
      <c r="Q869" t="s">
        <v>74</v>
      </c>
      <c r="R869" t="s">
        <v>74</v>
      </c>
      <c r="S869" t="s">
        <v>74</v>
      </c>
      <c r="T869" t="s">
        <v>11495</v>
      </c>
      <c r="U869" t="s">
        <v>11496</v>
      </c>
      <c r="V869" t="s">
        <v>11497</v>
      </c>
      <c r="W869" t="s">
        <v>11498</v>
      </c>
      <c r="X869" t="s">
        <v>11499</v>
      </c>
      <c r="Y869" t="s">
        <v>11500</v>
      </c>
      <c r="Z869" t="s">
        <v>11501</v>
      </c>
      <c r="AA869" t="s">
        <v>11502</v>
      </c>
      <c r="AB869" t="s">
        <v>11503</v>
      </c>
      <c r="AC869" t="s">
        <v>74</v>
      </c>
      <c r="AD869" t="s">
        <v>74</v>
      </c>
      <c r="AE869" t="s">
        <v>74</v>
      </c>
      <c r="AF869" t="s">
        <v>74</v>
      </c>
      <c r="AG869">
        <v>50</v>
      </c>
      <c r="AH869">
        <v>36</v>
      </c>
      <c r="AI869">
        <v>41</v>
      </c>
      <c r="AJ869">
        <v>0</v>
      </c>
      <c r="AK869">
        <v>21</v>
      </c>
      <c r="AL869" t="s">
        <v>2823</v>
      </c>
      <c r="AM869" t="s">
        <v>2824</v>
      </c>
      <c r="AN869" t="s">
        <v>2825</v>
      </c>
      <c r="AO869" t="s">
        <v>11474</v>
      </c>
      <c r="AP869" t="s">
        <v>11475</v>
      </c>
      <c r="AQ869" t="s">
        <v>74</v>
      </c>
      <c r="AR869" t="s">
        <v>11476</v>
      </c>
      <c r="AS869" t="s">
        <v>11477</v>
      </c>
      <c r="AT869" t="s">
        <v>11478</v>
      </c>
      <c r="AU869">
        <v>2000</v>
      </c>
      <c r="AV869">
        <v>21</v>
      </c>
      <c r="AW869">
        <v>3</v>
      </c>
      <c r="AX869" t="s">
        <v>74</v>
      </c>
      <c r="AY869" t="s">
        <v>74</v>
      </c>
      <c r="AZ869" t="s">
        <v>74</v>
      </c>
      <c r="BA869" t="s">
        <v>74</v>
      </c>
      <c r="BB869">
        <v>275</v>
      </c>
      <c r="BC869">
        <v>287</v>
      </c>
      <c r="BD869" t="s">
        <v>74</v>
      </c>
      <c r="BE869" t="s">
        <v>11504</v>
      </c>
      <c r="BF869" t="str">
        <f>HYPERLINK("http://dx.doi.org/10.3354/ame021275","http://dx.doi.org/10.3354/ame021275")</f>
        <v>http://dx.doi.org/10.3354/ame021275</v>
      </c>
      <c r="BG869" t="s">
        <v>74</v>
      </c>
      <c r="BH869" t="s">
        <v>74</v>
      </c>
      <c r="BI869">
        <v>13</v>
      </c>
      <c r="BJ869" t="s">
        <v>3402</v>
      </c>
      <c r="BK869" t="s">
        <v>94</v>
      </c>
      <c r="BL869" t="s">
        <v>3403</v>
      </c>
      <c r="BM869" t="s">
        <v>11480</v>
      </c>
      <c r="BN869" t="s">
        <v>74</v>
      </c>
      <c r="BO869" t="s">
        <v>1755</v>
      </c>
      <c r="BP869" t="s">
        <v>74</v>
      </c>
      <c r="BQ869" t="s">
        <v>74</v>
      </c>
      <c r="BR869" t="s">
        <v>97</v>
      </c>
      <c r="BS869" t="s">
        <v>11505</v>
      </c>
      <c r="BT869" t="str">
        <f>HYPERLINK("https%3A%2F%2Fwww.webofscience.com%2Fwos%2Fwoscc%2Ffull-record%2FWOS:000087813000007","View Full Record in Web of Science")</f>
        <v>View Full Record in Web of Science</v>
      </c>
    </row>
    <row r="870" spans="1:72" x14ac:dyDescent="0.15">
      <c r="A870" t="s">
        <v>72</v>
      </c>
      <c r="B870" t="s">
        <v>11506</v>
      </c>
      <c r="C870" t="s">
        <v>74</v>
      </c>
      <c r="D870" t="s">
        <v>74</v>
      </c>
      <c r="E870" t="s">
        <v>74</v>
      </c>
      <c r="F870" t="s">
        <v>11506</v>
      </c>
      <c r="G870" t="s">
        <v>74</v>
      </c>
      <c r="H870" t="s">
        <v>74</v>
      </c>
      <c r="I870" t="s">
        <v>11507</v>
      </c>
      <c r="J870" t="s">
        <v>4720</v>
      </c>
      <c r="K870" t="s">
        <v>74</v>
      </c>
      <c r="L870" t="s">
        <v>74</v>
      </c>
      <c r="M870" t="s">
        <v>77</v>
      </c>
      <c r="N870" t="s">
        <v>78</v>
      </c>
      <c r="O870" t="s">
        <v>74</v>
      </c>
      <c r="P870" t="s">
        <v>74</v>
      </c>
      <c r="Q870" t="s">
        <v>74</v>
      </c>
      <c r="R870" t="s">
        <v>74</v>
      </c>
      <c r="S870" t="s">
        <v>74</v>
      </c>
      <c r="T870" t="s">
        <v>11508</v>
      </c>
      <c r="U870" t="s">
        <v>11509</v>
      </c>
      <c r="V870" t="s">
        <v>11510</v>
      </c>
      <c r="W870" t="s">
        <v>11511</v>
      </c>
      <c r="X870" t="s">
        <v>11512</v>
      </c>
      <c r="Y870" t="s">
        <v>11513</v>
      </c>
      <c r="Z870" t="s">
        <v>11514</v>
      </c>
      <c r="AA870" t="s">
        <v>74</v>
      </c>
      <c r="AB870" t="s">
        <v>74</v>
      </c>
      <c r="AC870" t="s">
        <v>74</v>
      </c>
      <c r="AD870" t="s">
        <v>74</v>
      </c>
      <c r="AE870" t="s">
        <v>74</v>
      </c>
      <c r="AF870" t="s">
        <v>74</v>
      </c>
      <c r="AG870">
        <v>31</v>
      </c>
      <c r="AH870">
        <v>44</v>
      </c>
      <c r="AI870">
        <v>49</v>
      </c>
      <c r="AJ870">
        <v>0</v>
      </c>
      <c r="AK870">
        <v>10</v>
      </c>
      <c r="AL870" t="s">
        <v>1823</v>
      </c>
      <c r="AM870" t="s">
        <v>1121</v>
      </c>
      <c r="AN870" t="s">
        <v>1824</v>
      </c>
      <c r="AO870" t="s">
        <v>4727</v>
      </c>
      <c r="AP870" t="s">
        <v>74</v>
      </c>
      <c r="AQ870" t="s">
        <v>74</v>
      </c>
      <c r="AR870" t="s">
        <v>4728</v>
      </c>
      <c r="AS870" t="s">
        <v>4729</v>
      </c>
      <c r="AT870" t="s">
        <v>11478</v>
      </c>
      <c r="AU870">
        <v>2000</v>
      </c>
      <c r="AV870">
        <v>1479</v>
      </c>
      <c r="AW870" t="s">
        <v>870</v>
      </c>
      <c r="AX870" t="s">
        <v>74</v>
      </c>
      <c r="AY870" t="s">
        <v>74</v>
      </c>
      <c r="AZ870" t="s">
        <v>74</v>
      </c>
      <c r="BA870" t="s">
        <v>74</v>
      </c>
      <c r="BB870">
        <v>265</v>
      </c>
      <c r="BC870">
        <v>274</v>
      </c>
      <c r="BD870" t="s">
        <v>74</v>
      </c>
      <c r="BE870" t="s">
        <v>11515</v>
      </c>
      <c r="BF870" t="str">
        <f>HYPERLINK("http://dx.doi.org/10.1016/S0167-4838(00)00018-2","http://dx.doi.org/10.1016/S0167-4838(00)00018-2")</f>
        <v>http://dx.doi.org/10.1016/S0167-4838(00)00018-2</v>
      </c>
      <c r="BG870" t="s">
        <v>74</v>
      </c>
      <c r="BH870" t="s">
        <v>74</v>
      </c>
      <c r="BI870">
        <v>10</v>
      </c>
      <c r="BJ870" t="s">
        <v>4732</v>
      </c>
      <c r="BK870" t="s">
        <v>94</v>
      </c>
      <c r="BL870" t="s">
        <v>4732</v>
      </c>
      <c r="BM870" t="s">
        <v>11516</v>
      </c>
      <c r="BN870">
        <v>11004544</v>
      </c>
      <c r="BO870" t="s">
        <v>74</v>
      </c>
      <c r="BP870" t="s">
        <v>74</v>
      </c>
      <c r="BQ870" t="s">
        <v>74</v>
      </c>
      <c r="BR870" t="s">
        <v>97</v>
      </c>
      <c r="BS870" t="s">
        <v>11517</v>
      </c>
      <c r="BT870" t="str">
        <f>HYPERLINK("https%3A%2F%2Fwww.webofscience.com%2Fwos%2Fwoscc%2Ffull-record%2FWOS:000087933800026","View Full Record in Web of Science")</f>
        <v>View Full Record in Web of Science</v>
      </c>
    </row>
    <row r="871" spans="1:72" x14ac:dyDescent="0.15">
      <c r="A871" t="s">
        <v>72</v>
      </c>
      <c r="B871" t="s">
        <v>11518</v>
      </c>
      <c r="C871" t="s">
        <v>74</v>
      </c>
      <c r="D871" t="s">
        <v>74</v>
      </c>
      <c r="E871" t="s">
        <v>74</v>
      </c>
      <c r="F871" t="s">
        <v>11518</v>
      </c>
      <c r="G871" t="s">
        <v>74</v>
      </c>
      <c r="H871" t="s">
        <v>74</v>
      </c>
      <c r="I871" t="s">
        <v>11519</v>
      </c>
      <c r="J871" t="s">
        <v>4671</v>
      </c>
      <c r="K871" t="s">
        <v>74</v>
      </c>
      <c r="L871" t="s">
        <v>74</v>
      </c>
      <c r="M871" t="s">
        <v>77</v>
      </c>
      <c r="N871" t="s">
        <v>78</v>
      </c>
      <c r="O871" t="s">
        <v>74</v>
      </c>
      <c r="P871" t="s">
        <v>74</v>
      </c>
      <c r="Q871" t="s">
        <v>74</v>
      </c>
      <c r="R871" t="s">
        <v>74</v>
      </c>
      <c r="S871" t="s">
        <v>74</v>
      </c>
      <c r="T871" t="s">
        <v>11520</v>
      </c>
      <c r="U871" t="s">
        <v>11521</v>
      </c>
      <c r="V871" t="s">
        <v>11522</v>
      </c>
      <c r="W871" t="s">
        <v>11523</v>
      </c>
      <c r="X871" t="s">
        <v>11524</v>
      </c>
      <c r="Y871" t="s">
        <v>11525</v>
      </c>
      <c r="Z871" t="s">
        <v>11526</v>
      </c>
      <c r="AA871" t="s">
        <v>11527</v>
      </c>
      <c r="AB871" t="s">
        <v>11528</v>
      </c>
      <c r="AC871" t="s">
        <v>74</v>
      </c>
      <c r="AD871" t="s">
        <v>74</v>
      </c>
      <c r="AE871" t="s">
        <v>74</v>
      </c>
      <c r="AF871" t="s">
        <v>74</v>
      </c>
      <c r="AG871">
        <v>20</v>
      </c>
      <c r="AH871">
        <v>73</v>
      </c>
      <c r="AI871">
        <v>89</v>
      </c>
      <c r="AJ871">
        <v>0</v>
      </c>
      <c r="AK871">
        <v>16</v>
      </c>
      <c r="AL871" t="s">
        <v>1120</v>
      </c>
      <c r="AM871" t="s">
        <v>1121</v>
      </c>
      <c r="AN871" t="s">
        <v>2394</v>
      </c>
      <c r="AO871" t="s">
        <v>4680</v>
      </c>
      <c r="AP871" t="s">
        <v>4681</v>
      </c>
      <c r="AQ871" t="s">
        <v>74</v>
      </c>
      <c r="AR871" t="s">
        <v>4682</v>
      </c>
      <c r="AS871" t="s">
        <v>4683</v>
      </c>
      <c r="AT871" t="s">
        <v>11478</v>
      </c>
      <c r="AU871">
        <v>2000</v>
      </c>
      <c r="AV871">
        <v>179</v>
      </c>
      <c r="AW871">
        <v>1</v>
      </c>
      <c r="AX871" t="s">
        <v>74</v>
      </c>
      <c r="AY871" t="s">
        <v>74</v>
      </c>
      <c r="AZ871" t="s">
        <v>74</v>
      </c>
      <c r="BA871" t="s">
        <v>74</v>
      </c>
      <c r="BB871">
        <v>91</v>
      </c>
      <c r="BC871">
        <v>99</v>
      </c>
      <c r="BD871" t="s">
        <v>74</v>
      </c>
      <c r="BE871" t="s">
        <v>11529</v>
      </c>
      <c r="BF871" t="str">
        <f>HYPERLINK("http://dx.doi.org/10.1016/S0012-821X(00)00095-9","http://dx.doi.org/10.1016/S0012-821X(00)00095-9")</f>
        <v>http://dx.doi.org/10.1016/S0012-821X(00)00095-9</v>
      </c>
      <c r="BG871" t="s">
        <v>74</v>
      </c>
      <c r="BH871" t="s">
        <v>74</v>
      </c>
      <c r="BI871">
        <v>9</v>
      </c>
      <c r="BJ871" t="s">
        <v>953</v>
      </c>
      <c r="BK871" t="s">
        <v>94</v>
      </c>
      <c r="BL871" t="s">
        <v>953</v>
      </c>
      <c r="BM871" t="s">
        <v>11530</v>
      </c>
      <c r="BN871" t="s">
        <v>74</v>
      </c>
      <c r="BO871" t="s">
        <v>74</v>
      </c>
      <c r="BP871" t="s">
        <v>74</v>
      </c>
      <c r="BQ871" t="s">
        <v>74</v>
      </c>
      <c r="BR871" t="s">
        <v>97</v>
      </c>
      <c r="BS871" t="s">
        <v>11531</v>
      </c>
      <c r="BT871" t="str">
        <f>HYPERLINK("https%3A%2F%2Fwww.webofscience.com%2Fwos%2Fwoscc%2Ffull-record%2FWOS:000087743500008","View Full Record in Web of Science")</f>
        <v>View Full Record in Web of Science</v>
      </c>
    </row>
    <row r="872" spans="1:72" x14ac:dyDescent="0.15">
      <c r="A872" t="s">
        <v>72</v>
      </c>
      <c r="B872" t="s">
        <v>11532</v>
      </c>
      <c r="C872" t="s">
        <v>74</v>
      </c>
      <c r="D872" t="s">
        <v>74</v>
      </c>
      <c r="E872" t="s">
        <v>74</v>
      </c>
      <c r="F872" t="s">
        <v>11532</v>
      </c>
      <c r="G872" t="s">
        <v>74</v>
      </c>
      <c r="H872" t="s">
        <v>74</v>
      </c>
      <c r="I872" t="s">
        <v>11533</v>
      </c>
      <c r="J872" t="s">
        <v>1053</v>
      </c>
      <c r="K872" t="s">
        <v>74</v>
      </c>
      <c r="L872" t="s">
        <v>74</v>
      </c>
      <c r="M872" t="s">
        <v>77</v>
      </c>
      <c r="N872" t="s">
        <v>78</v>
      </c>
      <c r="O872" t="s">
        <v>74</v>
      </c>
      <c r="P872" t="s">
        <v>74</v>
      </c>
      <c r="Q872" t="s">
        <v>74</v>
      </c>
      <c r="R872" t="s">
        <v>74</v>
      </c>
      <c r="S872" t="s">
        <v>74</v>
      </c>
      <c r="T872" t="s">
        <v>74</v>
      </c>
      <c r="U872" t="s">
        <v>11534</v>
      </c>
      <c r="V872" t="s">
        <v>11535</v>
      </c>
      <c r="W872" t="s">
        <v>11536</v>
      </c>
      <c r="X872" t="s">
        <v>11537</v>
      </c>
      <c r="Y872" t="s">
        <v>11538</v>
      </c>
      <c r="Z872" t="s">
        <v>74</v>
      </c>
      <c r="AA872" t="s">
        <v>11539</v>
      </c>
      <c r="AB872" t="s">
        <v>74</v>
      </c>
      <c r="AC872" t="s">
        <v>74</v>
      </c>
      <c r="AD872" t="s">
        <v>74</v>
      </c>
      <c r="AE872" t="s">
        <v>74</v>
      </c>
      <c r="AF872" t="s">
        <v>74</v>
      </c>
      <c r="AG872">
        <v>15</v>
      </c>
      <c r="AH872">
        <v>41</v>
      </c>
      <c r="AI872">
        <v>42</v>
      </c>
      <c r="AJ872">
        <v>0</v>
      </c>
      <c r="AK872">
        <v>3</v>
      </c>
      <c r="AL872" t="s">
        <v>1059</v>
      </c>
      <c r="AM872" t="s">
        <v>1060</v>
      </c>
      <c r="AN872" t="s">
        <v>1061</v>
      </c>
      <c r="AO872" t="s">
        <v>1062</v>
      </c>
      <c r="AP872" t="s">
        <v>74</v>
      </c>
      <c r="AQ872" t="s">
        <v>74</v>
      </c>
      <c r="AR872" t="s">
        <v>1063</v>
      </c>
      <c r="AS872" t="s">
        <v>1064</v>
      </c>
      <c r="AT872" t="s">
        <v>11478</v>
      </c>
      <c r="AU872">
        <v>2000</v>
      </c>
      <c r="AV872">
        <v>27</v>
      </c>
      <c r="AW872">
        <v>12</v>
      </c>
      <c r="AX872" t="s">
        <v>74</v>
      </c>
      <c r="AY872" t="s">
        <v>74</v>
      </c>
      <c r="AZ872" t="s">
        <v>74</v>
      </c>
      <c r="BA872" t="s">
        <v>74</v>
      </c>
      <c r="BB872">
        <v>1683</v>
      </c>
      <c r="BC872">
        <v>1686</v>
      </c>
      <c r="BD872" t="s">
        <v>74</v>
      </c>
      <c r="BE872" t="s">
        <v>11540</v>
      </c>
      <c r="BF872" t="str">
        <f>HYPERLINK("http://dx.doi.org/10.1029/1999GL011087","http://dx.doi.org/10.1029/1999GL011087")</f>
        <v>http://dx.doi.org/10.1029/1999GL011087</v>
      </c>
      <c r="BG872" t="s">
        <v>74</v>
      </c>
      <c r="BH872" t="s">
        <v>74</v>
      </c>
      <c r="BI872">
        <v>4</v>
      </c>
      <c r="BJ872" t="s">
        <v>595</v>
      </c>
      <c r="BK872" t="s">
        <v>94</v>
      </c>
      <c r="BL872" t="s">
        <v>597</v>
      </c>
      <c r="BM872" t="s">
        <v>11541</v>
      </c>
      <c r="BN872" t="s">
        <v>74</v>
      </c>
      <c r="BO872" t="s">
        <v>1755</v>
      </c>
      <c r="BP872" t="s">
        <v>74</v>
      </c>
      <c r="BQ872" t="s">
        <v>74</v>
      </c>
      <c r="BR872" t="s">
        <v>97</v>
      </c>
      <c r="BS872" t="s">
        <v>11542</v>
      </c>
      <c r="BT872" t="str">
        <f>HYPERLINK("https%3A%2F%2Fwww.webofscience.com%2Fwos%2Fwoscc%2Ffull-record%2FWOS:000087658000001","View Full Record in Web of Science")</f>
        <v>View Full Record in Web of Science</v>
      </c>
    </row>
    <row r="873" spans="1:72" x14ac:dyDescent="0.15">
      <c r="A873" t="s">
        <v>72</v>
      </c>
      <c r="B873" t="s">
        <v>11543</v>
      </c>
      <c r="C873" t="s">
        <v>74</v>
      </c>
      <c r="D873" t="s">
        <v>74</v>
      </c>
      <c r="E873" t="s">
        <v>74</v>
      </c>
      <c r="F873" t="s">
        <v>11543</v>
      </c>
      <c r="G873" t="s">
        <v>74</v>
      </c>
      <c r="H873" t="s">
        <v>74</v>
      </c>
      <c r="I873" t="s">
        <v>11544</v>
      </c>
      <c r="J873" t="s">
        <v>1053</v>
      </c>
      <c r="K873" t="s">
        <v>74</v>
      </c>
      <c r="L873" t="s">
        <v>74</v>
      </c>
      <c r="M873" t="s">
        <v>77</v>
      </c>
      <c r="N873" t="s">
        <v>78</v>
      </c>
      <c r="O873" t="s">
        <v>74</v>
      </c>
      <c r="P873" t="s">
        <v>74</v>
      </c>
      <c r="Q873" t="s">
        <v>74</v>
      </c>
      <c r="R873" t="s">
        <v>74</v>
      </c>
      <c r="S873" t="s">
        <v>74</v>
      </c>
      <c r="T873" t="s">
        <v>74</v>
      </c>
      <c r="U873" t="s">
        <v>11545</v>
      </c>
      <c r="V873" t="s">
        <v>11546</v>
      </c>
      <c r="W873" t="s">
        <v>11547</v>
      </c>
      <c r="X873" t="s">
        <v>11548</v>
      </c>
      <c r="Y873" t="s">
        <v>11549</v>
      </c>
      <c r="Z873" t="s">
        <v>74</v>
      </c>
      <c r="AA873" t="s">
        <v>11550</v>
      </c>
      <c r="AB873" t="s">
        <v>11551</v>
      </c>
      <c r="AC873" t="s">
        <v>74</v>
      </c>
      <c r="AD873" t="s">
        <v>74</v>
      </c>
      <c r="AE873" t="s">
        <v>74</v>
      </c>
      <c r="AF873" t="s">
        <v>74</v>
      </c>
      <c r="AG873">
        <v>10</v>
      </c>
      <c r="AH873">
        <v>40</v>
      </c>
      <c r="AI873">
        <v>41</v>
      </c>
      <c r="AJ873">
        <v>0</v>
      </c>
      <c r="AK873">
        <v>4</v>
      </c>
      <c r="AL873" t="s">
        <v>1059</v>
      </c>
      <c r="AM873" t="s">
        <v>1060</v>
      </c>
      <c r="AN873" t="s">
        <v>1061</v>
      </c>
      <c r="AO873" t="s">
        <v>1062</v>
      </c>
      <c r="AP873" t="s">
        <v>74</v>
      </c>
      <c r="AQ873" t="s">
        <v>74</v>
      </c>
      <c r="AR873" t="s">
        <v>1063</v>
      </c>
      <c r="AS873" t="s">
        <v>1064</v>
      </c>
      <c r="AT873" t="s">
        <v>11478</v>
      </c>
      <c r="AU873">
        <v>2000</v>
      </c>
      <c r="AV873">
        <v>27</v>
      </c>
      <c r="AW873">
        <v>12</v>
      </c>
      <c r="AX873" t="s">
        <v>74</v>
      </c>
      <c r="AY873" t="s">
        <v>74</v>
      </c>
      <c r="AZ873" t="s">
        <v>74</v>
      </c>
      <c r="BA873" t="s">
        <v>74</v>
      </c>
      <c r="BB873">
        <v>1727</v>
      </c>
      <c r="BC873">
        <v>1730</v>
      </c>
      <c r="BD873" t="s">
        <v>74</v>
      </c>
      <c r="BE873" t="s">
        <v>11552</v>
      </c>
      <c r="BF873" t="str">
        <f>HYPERLINK("http://dx.doi.org/10.1029/1999GL011131","http://dx.doi.org/10.1029/1999GL011131")</f>
        <v>http://dx.doi.org/10.1029/1999GL011131</v>
      </c>
      <c r="BG873" t="s">
        <v>74</v>
      </c>
      <c r="BH873" t="s">
        <v>74</v>
      </c>
      <c r="BI873">
        <v>4</v>
      </c>
      <c r="BJ873" t="s">
        <v>595</v>
      </c>
      <c r="BK873" t="s">
        <v>94</v>
      </c>
      <c r="BL873" t="s">
        <v>597</v>
      </c>
      <c r="BM873" t="s">
        <v>11541</v>
      </c>
      <c r="BN873" t="s">
        <v>74</v>
      </c>
      <c r="BO873" t="s">
        <v>2428</v>
      </c>
      <c r="BP873" t="s">
        <v>74</v>
      </c>
      <c r="BQ873" t="s">
        <v>74</v>
      </c>
      <c r="BR873" t="s">
        <v>97</v>
      </c>
      <c r="BS873" t="s">
        <v>11553</v>
      </c>
      <c r="BT873" t="str">
        <f>HYPERLINK("https%3A%2F%2Fwww.webofscience.com%2Fwos%2Fwoscc%2Ffull-record%2FWOS:000087658000012","View Full Record in Web of Science")</f>
        <v>View Full Record in Web of Science</v>
      </c>
    </row>
    <row r="874" spans="1:72" x14ac:dyDescent="0.15">
      <c r="A874" t="s">
        <v>72</v>
      </c>
      <c r="B874" t="s">
        <v>11554</v>
      </c>
      <c r="C874" t="s">
        <v>74</v>
      </c>
      <c r="D874" t="s">
        <v>74</v>
      </c>
      <c r="E874" t="s">
        <v>74</v>
      </c>
      <c r="F874" t="s">
        <v>11554</v>
      </c>
      <c r="G874" t="s">
        <v>74</v>
      </c>
      <c r="H874" t="s">
        <v>74</v>
      </c>
      <c r="I874" t="s">
        <v>11555</v>
      </c>
      <c r="J874" t="s">
        <v>1518</v>
      </c>
      <c r="K874" t="s">
        <v>74</v>
      </c>
      <c r="L874" t="s">
        <v>74</v>
      </c>
      <c r="M874" t="s">
        <v>77</v>
      </c>
      <c r="N874" t="s">
        <v>78</v>
      </c>
      <c r="O874" t="s">
        <v>74</v>
      </c>
      <c r="P874" t="s">
        <v>74</v>
      </c>
      <c r="Q874" t="s">
        <v>74</v>
      </c>
      <c r="R874" t="s">
        <v>74</v>
      </c>
      <c r="S874" t="s">
        <v>74</v>
      </c>
      <c r="T874" t="s">
        <v>11556</v>
      </c>
      <c r="U874" t="s">
        <v>11557</v>
      </c>
      <c r="V874" t="s">
        <v>11558</v>
      </c>
      <c r="W874" t="s">
        <v>11559</v>
      </c>
      <c r="X874" t="s">
        <v>11560</v>
      </c>
      <c r="Y874" t="s">
        <v>11561</v>
      </c>
      <c r="Z874" t="s">
        <v>74</v>
      </c>
      <c r="AA874" t="s">
        <v>74</v>
      </c>
      <c r="AB874" t="s">
        <v>11562</v>
      </c>
      <c r="AC874" t="s">
        <v>74</v>
      </c>
      <c r="AD874" t="s">
        <v>74</v>
      </c>
      <c r="AE874" t="s">
        <v>74</v>
      </c>
      <c r="AF874" t="s">
        <v>74</v>
      </c>
      <c r="AG874">
        <v>36</v>
      </c>
      <c r="AH874">
        <v>9</v>
      </c>
      <c r="AI874">
        <v>10</v>
      </c>
      <c r="AJ874">
        <v>0</v>
      </c>
      <c r="AK874">
        <v>3</v>
      </c>
      <c r="AL874" t="s">
        <v>4249</v>
      </c>
      <c r="AM874" t="s">
        <v>4250</v>
      </c>
      <c r="AN874" t="s">
        <v>4251</v>
      </c>
      <c r="AO874" t="s">
        <v>1528</v>
      </c>
      <c r="AP874" t="s">
        <v>74</v>
      </c>
      <c r="AQ874" t="s">
        <v>74</v>
      </c>
      <c r="AR874" t="s">
        <v>1530</v>
      </c>
      <c r="AS874" t="s">
        <v>1531</v>
      </c>
      <c r="AT874" t="s">
        <v>11478</v>
      </c>
      <c r="AU874">
        <v>2000</v>
      </c>
      <c r="AV874">
        <v>20</v>
      </c>
      <c r="AW874">
        <v>7</v>
      </c>
      <c r="AX874" t="s">
        <v>74</v>
      </c>
      <c r="AY874" t="s">
        <v>74</v>
      </c>
      <c r="AZ874" t="s">
        <v>74</v>
      </c>
      <c r="BA874" t="s">
        <v>74</v>
      </c>
      <c r="BB874">
        <v>793</v>
      </c>
      <c r="BC874">
        <v>801</v>
      </c>
      <c r="BD874" t="s">
        <v>74</v>
      </c>
      <c r="BE874" t="s">
        <v>11563</v>
      </c>
      <c r="BF874" t="str">
        <f>HYPERLINK("http://dx.doi.org/10.1002/1097-0088(20000615)20:7&lt;793::AID-JOC502&gt;3.0.CO;2-9","http://dx.doi.org/10.1002/1097-0088(20000615)20:7&lt;793::AID-JOC502&gt;3.0.CO;2-9")</f>
        <v>http://dx.doi.org/10.1002/1097-0088(20000615)20:7&lt;793::AID-JOC502&gt;3.0.CO;2-9</v>
      </c>
      <c r="BG874" t="s">
        <v>74</v>
      </c>
      <c r="BH874" t="s">
        <v>74</v>
      </c>
      <c r="BI874">
        <v>9</v>
      </c>
      <c r="BJ874" t="s">
        <v>167</v>
      </c>
      <c r="BK874" t="s">
        <v>94</v>
      </c>
      <c r="BL874" t="s">
        <v>167</v>
      </c>
      <c r="BM874" t="s">
        <v>11564</v>
      </c>
      <c r="BN874" t="s">
        <v>74</v>
      </c>
      <c r="BO874" t="s">
        <v>74</v>
      </c>
      <c r="BP874" t="s">
        <v>74</v>
      </c>
      <c r="BQ874" t="s">
        <v>74</v>
      </c>
      <c r="BR874" t="s">
        <v>97</v>
      </c>
      <c r="BS874" t="s">
        <v>11565</v>
      </c>
      <c r="BT874" t="str">
        <f>HYPERLINK("https%3A%2F%2Fwww.webofscience.com%2Fwos%2Fwoscc%2Ffull-record%2FWOS:000087892900007","View Full Record in Web of Science")</f>
        <v>View Full Record in Web of Science</v>
      </c>
    </row>
    <row r="875" spans="1:72" x14ac:dyDescent="0.15">
      <c r="A875" t="s">
        <v>72</v>
      </c>
      <c r="B875" t="s">
        <v>11566</v>
      </c>
      <c r="C875" t="s">
        <v>74</v>
      </c>
      <c r="D875" t="s">
        <v>74</v>
      </c>
      <c r="E875" t="s">
        <v>74</v>
      </c>
      <c r="F875" t="s">
        <v>11566</v>
      </c>
      <c r="G875" t="s">
        <v>74</v>
      </c>
      <c r="H875" t="s">
        <v>74</v>
      </c>
      <c r="I875" t="s">
        <v>11567</v>
      </c>
      <c r="J875" t="s">
        <v>11568</v>
      </c>
      <c r="K875" t="s">
        <v>74</v>
      </c>
      <c r="L875" t="s">
        <v>74</v>
      </c>
      <c r="M875" t="s">
        <v>77</v>
      </c>
      <c r="N875" t="s">
        <v>78</v>
      </c>
      <c r="O875" t="s">
        <v>74</v>
      </c>
      <c r="P875" t="s">
        <v>74</v>
      </c>
      <c r="Q875" t="s">
        <v>74</v>
      </c>
      <c r="R875" t="s">
        <v>74</v>
      </c>
      <c r="S875" t="s">
        <v>74</v>
      </c>
      <c r="T875" t="s">
        <v>11569</v>
      </c>
      <c r="U875" t="s">
        <v>11570</v>
      </c>
      <c r="V875" t="s">
        <v>11571</v>
      </c>
      <c r="W875" t="s">
        <v>11572</v>
      </c>
      <c r="X875" t="s">
        <v>11573</v>
      </c>
      <c r="Y875" t="s">
        <v>11574</v>
      </c>
      <c r="Z875" t="s">
        <v>74</v>
      </c>
      <c r="AA875" t="s">
        <v>74</v>
      </c>
      <c r="AB875" t="s">
        <v>74</v>
      </c>
      <c r="AC875" t="s">
        <v>74</v>
      </c>
      <c r="AD875" t="s">
        <v>74</v>
      </c>
      <c r="AE875" t="s">
        <v>74</v>
      </c>
      <c r="AF875" t="s">
        <v>74</v>
      </c>
      <c r="AG875">
        <v>17</v>
      </c>
      <c r="AH875">
        <v>6</v>
      </c>
      <c r="AI875">
        <v>6</v>
      </c>
      <c r="AJ875">
        <v>0</v>
      </c>
      <c r="AK875">
        <v>2</v>
      </c>
      <c r="AL875" t="s">
        <v>813</v>
      </c>
      <c r="AM875" t="s">
        <v>814</v>
      </c>
      <c r="AN875" t="s">
        <v>815</v>
      </c>
      <c r="AO875" t="s">
        <v>11575</v>
      </c>
      <c r="AP875" t="s">
        <v>11576</v>
      </c>
      <c r="AQ875" t="s">
        <v>74</v>
      </c>
      <c r="AR875" t="s">
        <v>11577</v>
      </c>
      <c r="AS875" t="s">
        <v>11578</v>
      </c>
      <c r="AT875" t="s">
        <v>11478</v>
      </c>
      <c r="AU875">
        <v>2000</v>
      </c>
      <c r="AV875">
        <v>78</v>
      </c>
      <c r="AW875">
        <v>4</v>
      </c>
      <c r="AX875" t="s">
        <v>74</v>
      </c>
      <c r="AY875" t="s">
        <v>74</v>
      </c>
      <c r="AZ875" t="s">
        <v>74</v>
      </c>
      <c r="BA875" t="s">
        <v>74</v>
      </c>
      <c r="BB875">
        <v>281</v>
      </c>
      <c r="BC875">
        <v>284</v>
      </c>
      <c r="BD875" t="s">
        <v>74</v>
      </c>
      <c r="BE875" t="s">
        <v>11579</v>
      </c>
      <c r="BF875" t="str">
        <f>HYPERLINK("http://dx.doi.org/10.1002/(SICI)1097-461X(2000)78:4&lt;281::AID-QUA10&gt;3.0.CO;2-P","http://dx.doi.org/10.1002/(SICI)1097-461X(2000)78:4&lt;281::AID-QUA10&gt;3.0.CO;2-P")</f>
        <v>http://dx.doi.org/10.1002/(SICI)1097-461X(2000)78:4&lt;281::AID-QUA10&gt;3.0.CO;2-P</v>
      </c>
      <c r="BG875" t="s">
        <v>74</v>
      </c>
      <c r="BH875" t="s">
        <v>74</v>
      </c>
      <c r="BI875">
        <v>4</v>
      </c>
      <c r="BJ875" t="s">
        <v>11580</v>
      </c>
      <c r="BK875" t="s">
        <v>94</v>
      </c>
      <c r="BL875" t="s">
        <v>11581</v>
      </c>
      <c r="BM875" t="s">
        <v>11582</v>
      </c>
      <c r="BN875" t="s">
        <v>74</v>
      </c>
      <c r="BO875" t="s">
        <v>74</v>
      </c>
      <c r="BP875" t="s">
        <v>74</v>
      </c>
      <c r="BQ875" t="s">
        <v>74</v>
      </c>
      <c r="BR875" t="s">
        <v>97</v>
      </c>
      <c r="BS875" t="s">
        <v>11583</v>
      </c>
      <c r="BT875" t="str">
        <f>HYPERLINK("https%3A%2F%2Fwww.webofscience.com%2Fwos%2Fwoscc%2Ffull-record%2FWOS:000086774900010","View Full Record in Web of Science")</f>
        <v>View Full Record in Web of Science</v>
      </c>
    </row>
    <row r="876" spans="1:72" x14ac:dyDescent="0.15">
      <c r="A876" t="s">
        <v>72</v>
      </c>
      <c r="B876" t="s">
        <v>11584</v>
      </c>
      <c r="C876" t="s">
        <v>74</v>
      </c>
      <c r="D876" t="s">
        <v>74</v>
      </c>
      <c r="E876" t="s">
        <v>74</v>
      </c>
      <c r="F876" t="s">
        <v>11584</v>
      </c>
      <c r="G876" t="s">
        <v>74</v>
      </c>
      <c r="H876" t="s">
        <v>74</v>
      </c>
      <c r="I876" t="s">
        <v>11585</v>
      </c>
      <c r="J876" t="s">
        <v>4907</v>
      </c>
      <c r="K876" t="s">
        <v>74</v>
      </c>
      <c r="L876" t="s">
        <v>74</v>
      </c>
      <c r="M876" t="s">
        <v>77</v>
      </c>
      <c r="N876" t="s">
        <v>78</v>
      </c>
      <c r="O876" t="s">
        <v>74</v>
      </c>
      <c r="P876" t="s">
        <v>74</v>
      </c>
      <c r="Q876" t="s">
        <v>74</v>
      </c>
      <c r="R876" t="s">
        <v>74</v>
      </c>
      <c r="S876" t="s">
        <v>74</v>
      </c>
      <c r="T876" t="s">
        <v>74</v>
      </c>
      <c r="U876" t="s">
        <v>11586</v>
      </c>
      <c r="V876" t="s">
        <v>11587</v>
      </c>
      <c r="W876" t="s">
        <v>11588</v>
      </c>
      <c r="X876" t="s">
        <v>11589</v>
      </c>
      <c r="Y876" t="s">
        <v>11590</v>
      </c>
      <c r="Z876" t="s">
        <v>11591</v>
      </c>
      <c r="AA876" t="s">
        <v>74</v>
      </c>
      <c r="AB876" t="s">
        <v>74</v>
      </c>
      <c r="AC876" t="s">
        <v>74</v>
      </c>
      <c r="AD876" t="s">
        <v>74</v>
      </c>
      <c r="AE876" t="s">
        <v>74</v>
      </c>
      <c r="AF876" t="s">
        <v>74</v>
      </c>
      <c r="AG876">
        <v>99</v>
      </c>
      <c r="AH876">
        <v>133</v>
      </c>
      <c r="AI876">
        <v>141</v>
      </c>
      <c r="AJ876">
        <v>0</v>
      </c>
      <c r="AK876">
        <v>25</v>
      </c>
      <c r="AL876" t="s">
        <v>1059</v>
      </c>
      <c r="AM876" t="s">
        <v>1060</v>
      </c>
      <c r="AN876" t="s">
        <v>1061</v>
      </c>
      <c r="AO876" t="s">
        <v>4916</v>
      </c>
      <c r="AP876" t="s">
        <v>4917</v>
      </c>
      <c r="AQ876" t="s">
        <v>74</v>
      </c>
      <c r="AR876" t="s">
        <v>4918</v>
      </c>
      <c r="AS876" t="s">
        <v>4919</v>
      </c>
      <c r="AT876" t="s">
        <v>11478</v>
      </c>
      <c r="AU876">
        <v>2000</v>
      </c>
      <c r="AV876">
        <v>105</v>
      </c>
      <c r="AW876" t="s">
        <v>11592</v>
      </c>
      <c r="AX876" t="s">
        <v>74</v>
      </c>
      <c r="AY876" t="s">
        <v>74</v>
      </c>
      <c r="AZ876" t="s">
        <v>74</v>
      </c>
      <c r="BA876" t="s">
        <v>74</v>
      </c>
      <c r="BB876">
        <v>14297</v>
      </c>
      <c r="BC876">
        <v>14323</v>
      </c>
      <c r="BD876" t="s">
        <v>74</v>
      </c>
      <c r="BE876" t="s">
        <v>11593</v>
      </c>
      <c r="BF876" t="str">
        <f>HYPERLINK("http://dx.doi.org/10.1029/1999JC900274","http://dx.doi.org/10.1029/1999JC900274")</f>
        <v>http://dx.doi.org/10.1029/1999JC900274</v>
      </c>
      <c r="BG876" t="s">
        <v>74</v>
      </c>
      <c r="BH876" t="s">
        <v>74</v>
      </c>
      <c r="BI876">
        <v>27</v>
      </c>
      <c r="BJ876" t="s">
        <v>252</v>
      </c>
      <c r="BK876" t="s">
        <v>94</v>
      </c>
      <c r="BL876" t="s">
        <v>252</v>
      </c>
      <c r="BM876" t="s">
        <v>11594</v>
      </c>
      <c r="BN876" t="s">
        <v>74</v>
      </c>
      <c r="BO876" t="s">
        <v>1755</v>
      </c>
      <c r="BP876" t="s">
        <v>74</v>
      </c>
      <c r="BQ876" t="s">
        <v>74</v>
      </c>
      <c r="BR876" t="s">
        <v>97</v>
      </c>
      <c r="BS876" t="s">
        <v>11595</v>
      </c>
      <c r="BT876" t="str">
        <f>HYPERLINK("https%3A%2F%2Fwww.webofscience.com%2Fwos%2Fwoscc%2Ffull-record%2FWOS:000087627300026","View Full Record in Web of Science")</f>
        <v>View Full Record in Web of Science</v>
      </c>
    </row>
    <row r="877" spans="1:72" x14ac:dyDescent="0.15">
      <c r="A877" t="s">
        <v>72</v>
      </c>
      <c r="B877" t="s">
        <v>11596</v>
      </c>
      <c r="C877" t="s">
        <v>74</v>
      </c>
      <c r="D877" t="s">
        <v>74</v>
      </c>
      <c r="E877" t="s">
        <v>74</v>
      </c>
      <c r="F877" t="s">
        <v>11596</v>
      </c>
      <c r="G877" t="s">
        <v>74</v>
      </c>
      <c r="H877" t="s">
        <v>74</v>
      </c>
      <c r="I877" t="s">
        <v>11597</v>
      </c>
      <c r="J877" t="s">
        <v>4938</v>
      </c>
      <c r="K877" t="s">
        <v>74</v>
      </c>
      <c r="L877" t="s">
        <v>74</v>
      </c>
      <c r="M877" t="s">
        <v>77</v>
      </c>
      <c r="N877" t="s">
        <v>78</v>
      </c>
      <c r="O877" t="s">
        <v>74</v>
      </c>
      <c r="P877" t="s">
        <v>74</v>
      </c>
      <c r="Q877" t="s">
        <v>74</v>
      </c>
      <c r="R877" t="s">
        <v>74</v>
      </c>
      <c r="S877" t="s">
        <v>74</v>
      </c>
      <c r="T877" t="s">
        <v>11598</v>
      </c>
      <c r="U877" t="s">
        <v>11599</v>
      </c>
      <c r="V877" t="s">
        <v>11600</v>
      </c>
      <c r="W877" t="s">
        <v>11601</v>
      </c>
      <c r="X877" t="s">
        <v>11602</v>
      </c>
      <c r="Y877" t="s">
        <v>11603</v>
      </c>
      <c r="Z877" t="s">
        <v>11604</v>
      </c>
      <c r="AA877" t="s">
        <v>11605</v>
      </c>
      <c r="AB877" t="s">
        <v>11606</v>
      </c>
      <c r="AC877" t="s">
        <v>74</v>
      </c>
      <c r="AD877" t="s">
        <v>74</v>
      </c>
      <c r="AE877" t="s">
        <v>74</v>
      </c>
      <c r="AF877" t="s">
        <v>74</v>
      </c>
      <c r="AG877">
        <v>48</v>
      </c>
      <c r="AH877">
        <v>25</v>
      </c>
      <c r="AI877">
        <v>29</v>
      </c>
      <c r="AJ877">
        <v>3</v>
      </c>
      <c r="AK877">
        <v>14</v>
      </c>
      <c r="AL877" t="s">
        <v>1120</v>
      </c>
      <c r="AM877" t="s">
        <v>1121</v>
      </c>
      <c r="AN877" t="s">
        <v>2394</v>
      </c>
      <c r="AO877" t="s">
        <v>4944</v>
      </c>
      <c r="AP877" t="s">
        <v>11607</v>
      </c>
      <c r="AQ877" t="s">
        <v>74</v>
      </c>
      <c r="AR877" t="s">
        <v>4945</v>
      </c>
      <c r="AS877" t="s">
        <v>4946</v>
      </c>
      <c r="AT877" t="s">
        <v>11478</v>
      </c>
      <c r="AU877">
        <v>2000</v>
      </c>
      <c r="AV877">
        <v>167</v>
      </c>
      <c r="AW877" t="s">
        <v>870</v>
      </c>
      <c r="AX877" t="s">
        <v>74</v>
      </c>
      <c r="AY877" t="s">
        <v>74</v>
      </c>
      <c r="AZ877" t="s">
        <v>74</v>
      </c>
      <c r="BA877" t="s">
        <v>74</v>
      </c>
      <c r="BB877">
        <v>61</v>
      </c>
      <c r="BC877">
        <v>84</v>
      </c>
      <c r="BD877" t="s">
        <v>74</v>
      </c>
      <c r="BE877" t="s">
        <v>11608</v>
      </c>
      <c r="BF877" t="str">
        <f>HYPERLINK("http://dx.doi.org/10.1016/S0025-3227(00)00023-2","http://dx.doi.org/10.1016/S0025-3227(00)00023-2")</f>
        <v>http://dx.doi.org/10.1016/S0025-3227(00)00023-2</v>
      </c>
      <c r="BG877" t="s">
        <v>74</v>
      </c>
      <c r="BH877" t="s">
        <v>74</v>
      </c>
      <c r="BI877">
        <v>24</v>
      </c>
      <c r="BJ877" t="s">
        <v>4948</v>
      </c>
      <c r="BK877" t="s">
        <v>94</v>
      </c>
      <c r="BL877" t="s">
        <v>4949</v>
      </c>
      <c r="BM877" t="s">
        <v>11609</v>
      </c>
      <c r="BN877" t="s">
        <v>74</v>
      </c>
      <c r="BO877" t="s">
        <v>74</v>
      </c>
      <c r="BP877" t="s">
        <v>74</v>
      </c>
      <c r="BQ877" t="s">
        <v>74</v>
      </c>
      <c r="BR877" t="s">
        <v>97</v>
      </c>
      <c r="BS877" t="s">
        <v>11610</v>
      </c>
      <c r="BT877" t="str">
        <f>HYPERLINK("https%3A%2F%2Fwww.webofscience.com%2Fwos%2Fwoscc%2Ffull-record%2FWOS:000087947200005","View Full Record in Web of Science")</f>
        <v>View Full Record in Web of Science</v>
      </c>
    </row>
    <row r="878" spans="1:72" x14ac:dyDescent="0.15">
      <c r="A878" t="s">
        <v>72</v>
      </c>
      <c r="B878" t="s">
        <v>11611</v>
      </c>
      <c r="C878" t="s">
        <v>74</v>
      </c>
      <c r="D878" t="s">
        <v>74</v>
      </c>
      <c r="E878" t="s">
        <v>74</v>
      </c>
      <c r="F878" t="s">
        <v>11611</v>
      </c>
      <c r="G878" t="s">
        <v>74</v>
      </c>
      <c r="H878" t="s">
        <v>74</v>
      </c>
      <c r="I878" t="s">
        <v>11612</v>
      </c>
      <c r="J878" t="s">
        <v>4938</v>
      </c>
      <c r="K878" t="s">
        <v>74</v>
      </c>
      <c r="L878" t="s">
        <v>74</v>
      </c>
      <c r="M878" t="s">
        <v>77</v>
      </c>
      <c r="N878" t="s">
        <v>78</v>
      </c>
      <c r="O878" t="s">
        <v>74</v>
      </c>
      <c r="P878" t="s">
        <v>74</v>
      </c>
      <c r="Q878" t="s">
        <v>74</v>
      </c>
      <c r="R878" t="s">
        <v>74</v>
      </c>
      <c r="S878" t="s">
        <v>74</v>
      </c>
      <c r="T878" t="s">
        <v>11613</v>
      </c>
      <c r="U878" t="s">
        <v>11614</v>
      </c>
      <c r="V878" t="s">
        <v>11615</v>
      </c>
      <c r="W878" t="s">
        <v>11616</v>
      </c>
      <c r="X878" t="s">
        <v>11617</v>
      </c>
      <c r="Y878" t="s">
        <v>11618</v>
      </c>
      <c r="Z878" t="s">
        <v>74</v>
      </c>
      <c r="AA878" t="s">
        <v>74</v>
      </c>
      <c r="AB878" t="s">
        <v>74</v>
      </c>
      <c r="AC878" t="s">
        <v>74</v>
      </c>
      <c r="AD878" t="s">
        <v>74</v>
      </c>
      <c r="AE878" t="s">
        <v>74</v>
      </c>
      <c r="AF878" t="s">
        <v>74</v>
      </c>
      <c r="AG878">
        <v>58</v>
      </c>
      <c r="AH878">
        <v>89</v>
      </c>
      <c r="AI878">
        <v>104</v>
      </c>
      <c r="AJ878">
        <v>0</v>
      </c>
      <c r="AK878">
        <v>17</v>
      </c>
      <c r="AL878" t="s">
        <v>1120</v>
      </c>
      <c r="AM878" t="s">
        <v>1121</v>
      </c>
      <c r="AN878" t="s">
        <v>2394</v>
      </c>
      <c r="AO878" t="s">
        <v>4944</v>
      </c>
      <c r="AP878" t="s">
        <v>74</v>
      </c>
      <c r="AQ878" t="s">
        <v>74</v>
      </c>
      <c r="AR878" t="s">
        <v>4945</v>
      </c>
      <c r="AS878" t="s">
        <v>4946</v>
      </c>
      <c r="AT878" t="s">
        <v>11478</v>
      </c>
      <c r="AU878">
        <v>2000</v>
      </c>
      <c r="AV878">
        <v>167</v>
      </c>
      <c r="AW878" t="s">
        <v>870</v>
      </c>
      <c r="AX878" t="s">
        <v>74</v>
      </c>
      <c r="AY878" t="s">
        <v>74</v>
      </c>
      <c r="AZ878" t="s">
        <v>74</v>
      </c>
      <c r="BA878" t="s">
        <v>74</v>
      </c>
      <c r="BB878">
        <v>85</v>
      </c>
      <c r="BC878">
        <v>103</v>
      </c>
      <c r="BD878" t="s">
        <v>74</v>
      </c>
      <c r="BE878" t="s">
        <v>11619</v>
      </c>
      <c r="BF878" t="str">
        <f>HYPERLINK("http://dx.doi.org/10.1016/S0025-3227(00)00018-9","http://dx.doi.org/10.1016/S0025-3227(00)00018-9")</f>
        <v>http://dx.doi.org/10.1016/S0025-3227(00)00018-9</v>
      </c>
      <c r="BG878" t="s">
        <v>74</v>
      </c>
      <c r="BH878" t="s">
        <v>74</v>
      </c>
      <c r="BI878">
        <v>19</v>
      </c>
      <c r="BJ878" t="s">
        <v>4948</v>
      </c>
      <c r="BK878" t="s">
        <v>94</v>
      </c>
      <c r="BL878" t="s">
        <v>4949</v>
      </c>
      <c r="BM878" t="s">
        <v>11609</v>
      </c>
      <c r="BN878" t="s">
        <v>74</v>
      </c>
      <c r="BO878" t="s">
        <v>74</v>
      </c>
      <c r="BP878" t="s">
        <v>74</v>
      </c>
      <c r="BQ878" t="s">
        <v>74</v>
      </c>
      <c r="BR878" t="s">
        <v>97</v>
      </c>
      <c r="BS878" t="s">
        <v>11620</v>
      </c>
      <c r="BT878" t="str">
        <f>HYPERLINK("https%3A%2F%2Fwww.webofscience.com%2Fwos%2Fwoscc%2Ffull-record%2FWOS:000087947200006","View Full Record in Web of Science")</f>
        <v>View Full Record in Web of Science</v>
      </c>
    </row>
    <row r="879" spans="1:72" x14ac:dyDescent="0.15">
      <c r="A879" t="s">
        <v>72</v>
      </c>
      <c r="B879" t="s">
        <v>11621</v>
      </c>
      <c r="C879" t="s">
        <v>74</v>
      </c>
      <c r="D879" t="s">
        <v>74</v>
      </c>
      <c r="E879" t="s">
        <v>74</v>
      </c>
      <c r="F879" t="s">
        <v>11621</v>
      </c>
      <c r="G879" t="s">
        <v>74</v>
      </c>
      <c r="H879" t="s">
        <v>74</v>
      </c>
      <c r="I879" t="s">
        <v>11622</v>
      </c>
      <c r="J879" t="s">
        <v>4967</v>
      </c>
      <c r="K879" t="s">
        <v>74</v>
      </c>
      <c r="L879" t="s">
        <v>74</v>
      </c>
      <c r="M879" t="s">
        <v>77</v>
      </c>
      <c r="N879" t="s">
        <v>78</v>
      </c>
      <c r="O879" t="s">
        <v>74</v>
      </c>
      <c r="P879" t="s">
        <v>74</v>
      </c>
      <c r="Q879" t="s">
        <v>74</v>
      </c>
      <c r="R879" t="s">
        <v>74</v>
      </c>
      <c r="S879" t="s">
        <v>74</v>
      </c>
      <c r="T879" t="s">
        <v>74</v>
      </c>
      <c r="U879" t="s">
        <v>11623</v>
      </c>
      <c r="V879" t="s">
        <v>11624</v>
      </c>
      <c r="W879" t="s">
        <v>11625</v>
      </c>
      <c r="X879" t="s">
        <v>11626</v>
      </c>
      <c r="Y879" t="s">
        <v>11627</v>
      </c>
      <c r="Z879" t="s">
        <v>11628</v>
      </c>
      <c r="AA879" t="s">
        <v>11629</v>
      </c>
      <c r="AB879" t="s">
        <v>11630</v>
      </c>
      <c r="AC879" t="s">
        <v>74</v>
      </c>
      <c r="AD879" t="s">
        <v>74</v>
      </c>
      <c r="AE879" t="s">
        <v>74</v>
      </c>
      <c r="AF879" t="s">
        <v>74</v>
      </c>
      <c r="AG879">
        <v>47</v>
      </c>
      <c r="AH879">
        <v>133</v>
      </c>
      <c r="AI879">
        <v>148</v>
      </c>
      <c r="AJ879">
        <v>0</v>
      </c>
      <c r="AK879">
        <v>25</v>
      </c>
      <c r="AL879" t="s">
        <v>1059</v>
      </c>
      <c r="AM879" t="s">
        <v>1060</v>
      </c>
      <c r="AN879" t="s">
        <v>1061</v>
      </c>
      <c r="AO879" t="s">
        <v>4973</v>
      </c>
      <c r="AP879" t="s">
        <v>4974</v>
      </c>
      <c r="AQ879" t="s">
        <v>74</v>
      </c>
      <c r="AR879" t="s">
        <v>4975</v>
      </c>
      <c r="AS879" t="s">
        <v>4976</v>
      </c>
      <c r="AT879" t="s">
        <v>11631</v>
      </c>
      <c r="AU879">
        <v>2000</v>
      </c>
      <c r="AV879">
        <v>105</v>
      </c>
      <c r="AW879" t="s">
        <v>11632</v>
      </c>
      <c r="AX879" t="s">
        <v>74</v>
      </c>
      <c r="AY879" t="s">
        <v>74</v>
      </c>
      <c r="AZ879" t="s">
        <v>74</v>
      </c>
      <c r="BA879" t="s">
        <v>74</v>
      </c>
      <c r="BB879">
        <v>13491</v>
      </c>
      <c r="BC879">
        <v>13507</v>
      </c>
      <c r="BD879" t="s">
        <v>74</v>
      </c>
      <c r="BE879" t="s">
        <v>11633</v>
      </c>
      <c r="BF879" t="str">
        <f>HYPERLINK("http://dx.doi.org/10.1029/2000JB900066","http://dx.doi.org/10.1029/2000JB900066")</f>
        <v>http://dx.doi.org/10.1029/2000JB900066</v>
      </c>
      <c r="BG879" t="s">
        <v>74</v>
      </c>
      <c r="BH879" t="s">
        <v>74</v>
      </c>
      <c r="BI879">
        <v>17</v>
      </c>
      <c r="BJ879" t="s">
        <v>953</v>
      </c>
      <c r="BK879" t="s">
        <v>94</v>
      </c>
      <c r="BL879" t="s">
        <v>953</v>
      </c>
      <c r="BM879" t="s">
        <v>11634</v>
      </c>
      <c r="BN879" t="s">
        <v>74</v>
      </c>
      <c r="BO879" t="s">
        <v>6776</v>
      </c>
      <c r="BP879" t="s">
        <v>74</v>
      </c>
      <c r="BQ879" t="s">
        <v>74</v>
      </c>
      <c r="BR879" t="s">
        <v>97</v>
      </c>
      <c r="BS879" t="s">
        <v>11635</v>
      </c>
      <c r="BT879" t="str">
        <f>HYPERLINK("https%3A%2F%2Fwww.webofscience.com%2Fwos%2Fwoscc%2Ffull-record%2FWOS:000087628000021","View Full Record in Web of Science")</f>
        <v>View Full Record in Web of Science</v>
      </c>
    </row>
    <row r="880" spans="1:72" x14ac:dyDescent="0.15">
      <c r="A880" t="s">
        <v>72</v>
      </c>
      <c r="B880" t="s">
        <v>11636</v>
      </c>
      <c r="C880" t="s">
        <v>74</v>
      </c>
      <c r="D880" t="s">
        <v>74</v>
      </c>
      <c r="E880" t="s">
        <v>74</v>
      </c>
      <c r="F880" t="s">
        <v>11636</v>
      </c>
      <c r="G880" t="s">
        <v>74</v>
      </c>
      <c r="H880" t="s">
        <v>74</v>
      </c>
      <c r="I880" t="s">
        <v>11637</v>
      </c>
      <c r="J880" t="s">
        <v>4967</v>
      </c>
      <c r="K880" t="s">
        <v>74</v>
      </c>
      <c r="L880" t="s">
        <v>74</v>
      </c>
      <c r="M880" t="s">
        <v>77</v>
      </c>
      <c r="N880" t="s">
        <v>78</v>
      </c>
      <c r="O880" t="s">
        <v>74</v>
      </c>
      <c r="P880" t="s">
        <v>74</v>
      </c>
      <c r="Q880" t="s">
        <v>74</v>
      </c>
      <c r="R880" t="s">
        <v>74</v>
      </c>
      <c r="S880" t="s">
        <v>74</v>
      </c>
      <c r="T880" t="s">
        <v>74</v>
      </c>
      <c r="U880" t="s">
        <v>11638</v>
      </c>
      <c r="V880" t="s">
        <v>11639</v>
      </c>
      <c r="W880" t="s">
        <v>11640</v>
      </c>
      <c r="X880" t="s">
        <v>11641</v>
      </c>
      <c r="Y880" t="s">
        <v>11642</v>
      </c>
      <c r="Z880" t="s">
        <v>11643</v>
      </c>
      <c r="AA880" t="s">
        <v>11644</v>
      </c>
      <c r="AB880" t="s">
        <v>11645</v>
      </c>
      <c r="AC880" t="s">
        <v>74</v>
      </c>
      <c r="AD880" t="s">
        <v>74</v>
      </c>
      <c r="AE880" t="s">
        <v>74</v>
      </c>
      <c r="AF880" t="s">
        <v>74</v>
      </c>
      <c r="AG880">
        <v>49</v>
      </c>
      <c r="AH880">
        <v>80</v>
      </c>
      <c r="AI880">
        <v>81</v>
      </c>
      <c r="AJ880">
        <v>0</v>
      </c>
      <c r="AK880">
        <v>6</v>
      </c>
      <c r="AL880" t="s">
        <v>1059</v>
      </c>
      <c r="AM880" t="s">
        <v>1060</v>
      </c>
      <c r="AN880" t="s">
        <v>1061</v>
      </c>
      <c r="AO880" t="s">
        <v>4973</v>
      </c>
      <c r="AP880" t="s">
        <v>4974</v>
      </c>
      <c r="AQ880" t="s">
        <v>74</v>
      </c>
      <c r="AR880" t="s">
        <v>4975</v>
      </c>
      <c r="AS880" t="s">
        <v>4976</v>
      </c>
      <c r="AT880" t="s">
        <v>11631</v>
      </c>
      <c r="AU880">
        <v>2000</v>
      </c>
      <c r="AV880">
        <v>105</v>
      </c>
      <c r="AW880" t="s">
        <v>11632</v>
      </c>
      <c r="AX880" t="s">
        <v>74</v>
      </c>
      <c r="AY880" t="s">
        <v>74</v>
      </c>
      <c r="AZ880" t="s">
        <v>74</v>
      </c>
      <c r="BA880" t="s">
        <v>74</v>
      </c>
      <c r="BB880">
        <v>13905</v>
      </c>
      <c r="BC880">
        <v>13931</v>
      </c>
      <c r="BD880" t="s">
        <v>74</v>
      </c>
      <c r="BE880" t="s">
        <v>11646</v>
      </c>
      <c r="BF880" t="str">
        <f>HYPERLINK("http://dx.doi.org/10.1029/2000JB900013","http://dx.doi.org/10.1029/2000JB900013")</f>
        <v>http://dx.doi.org/10.1029/2000JB900013</v>
      </c>
      <c r="BG880" t="s">
        <v>74</v>
      </c>
      <c r="BH880" t="s">
        <v>74</v>
      </c>
      <c r="BI880">
        <v>27</v>
      </c>
      <c r="BJ880" t="s">
        <v>953</v>
      </c>
      <c r="BK880" t="s">
        <v>94</v>
      </c>
      <c r="BL880" t="s">
        <v>953</v>
      </c>
      <c r="BM880" t="s">
        <v>11634</v>
      </c>
      <c r="BN880" t="s">
        <v>74</v>
      </c>
      <c r="BO880" t="s">
        <v>1755</v>
      </c>
      <c r="BP880" t="s">
        <v>74</v>
      </c>
      <c r="BQ880" t="s">
        <v>74</v>
      </c>
      <c r="BR880" t="s">
        <v>97</v>
      </c>
      <c r="BS880" t="s">
        <v>11647</v>
      </c>
      <c r="BT880" t="str">
        <f>HYPERLINK("https%3A%2F%2Fwww.webofscience.com%2Fwos%2Fwoscc%2Ffull-record%2FWOS:000087628000045","View Full Record in Web of Science")</f>
        <v>View Full Record in Web of Science</v>
      </c>
    </row>
    <row r="881" spans="1:72" x14ac:dyDescent="0.15">
      <c r="A881" t="s">
        <v>72</v>
      </c>
      <c r="B881" t="s">
        <v>11648</v>
      </c>
      <c r="C881" t="s">
        <v>74</v>
      </c>
      <c r="D881" t="s">
        <v>74</v>
      </c>
      <c r="E881" t="s">
        <v>74</v>
      </c>
      <c r="F881" t="s">
        <v>11648</v>
      </c>
      <c r="G881" t="s">
        <v>74</v>
      </c>
      <c r="H881" t="s">
        <v>74</v>
      </c>
      <c r="I881" t="s">
        <v>11649</v>
      </c>
      <c r="J881" t="s">
        <v>8350</v>
      </c>
      <c r="K881" t="s">
        <v>74</v>
      </c>
      <c r="L881" t="s">
        <v>74</v>
      </c>
      <c r="M881" t="s">
        <v>77</v>
      </c>
      <c r="N881" t="s">
        <v>78</v>
      </c>
      <c r="O881" t="s">
        <v>74</v>
      </c>
      <c r="P881" t="s">
        <v>74</v>
      </c>
      <c r="Q881" t="s">
        <v>74</v>
      </c>
      <c r="R881" t="s">
        <v>74</v>
      </c>
      <c r="S881" t="s">
        <v>74</v>
      </c>
      <c r="T881" t="s">
        <v>74</v>
      </c>
      <c r="U881" t="s">
        <v>11650</v>
      </c>
      <c r="V881" t="s">
        <v>11651</v>
      </c>
      <c r="W881" t="s">
        <v>11652</v>
      </c>
      <c r="X881" t="s">
        <v>11653</v>
      </c>
      <c r="Y881" t="s">
        <v>11654</v>
      </c>
      <c r="Z881" t="s">
        <v>74</v>
      </c>
      <c r="AA881" t="s">
        <v>11655</v>
      </c>
      <c r="AB881" t="s">
        <v>11656</v>
      </c>
      <c r="AC881" t="s">
        <v>74</v>
      </c>
      <c r="AD881" t="s">
        <v>74</v>
      </c>
      <c r="AE881" t="s">
        <v>74</v>
      </c>
      <c r="AF881" t="s">
        <v>74</v>
      </c>
      <c r="AG881">
        <v>49</v>
      </c>
      <c r="AH881">
        <v>145</v>
      </c>
      <c r="AI881">
        <v>158</v>
      </c>
      <c r="AJ881">
        <v>0</v>
      </c>
      <c r="AK881">
        <v>23</v>
      </c>
      <c r="AL881" t="s">
        <v>8354</v>
      </c>
      <c r="AM881" t="s">
        <v>1060</v>
      </c>
      <c r="AN881" t="s">
        <v>8355</v>
      </c>
      <c r="AO881" t="s">
        <v>8356</v>
      </c>
      <c r="AP881" t="s">
        <v>74</v>
      </c>
      <c r="AQ881" t="s">
        <v>74</v>
      </c>
      <c r="AR881" t="s">
        <v>8350</v>
      </c>
      <c r="AS881" t="s">
        <v>8357</v>
      </c>
      <c r="AT881" t="s">
        <v>11657</v>
      </c>
      <c r="AU881">
        <v>2000</v>
      </c>
      <c r="AV881">
        <v>288</v>
      </c>
      <c r="AW881">
        <v>5472</v>
      </c>
      <c r="AX881" t="s">
        <v>74</v>
      </c>
      <c r="AY881" t="s">
        <v>74</v>
      </c>
      <c r="AZ881" t="s">
        <v>74</v>
      </c>
      <c r="BA881" t="s">
        <v>74</v>
      </c>
      <c r="BB881">
        <v>1815</v>
      </c>
      <c r="BC881">
        <v>1818</v>
      </c>
      <c r="BD881" t="s">
        <v>74</v>
      </c>
      <c r="BE881" t="s">
        <v>11658</v>
      </c>
      <c r="BF881" t="str">
        <f>HYPERLINK("http://dx.doi.org/10.1126/science.288.5472.1815","http://dx.doi.org/10.1126/science.288.5472.1815")</f>
        <v>http://dx.doi.org/10.1126/science.288.5472.1815</v>
      </c>
      <c r="BG881" t="s">
        <v>74</v>
      </c>
      <c r="BH881" t="s">
        <v>74</v>
      </c>
      <c r="BI881">
        <v>4</v>
      </c>
      <c r="BJ881" t="s">
        <v>93</v>
      </c>
      <c r="BK881" t="s">
        <v>94</v>
      </c>
      <c r="BL881" t="s">
        <v>95</v>
      </c>
      <c r="BM881" t="s">
        <v>11659</v>
      </c>
      <c r="BN881">
        <v>10846161</v>
      </c>
      <c r="BO881" t="s">
        <v>74</v>
      </c>
      <c r="BP881" t="s">
        <v>74</v>
      </c>
      <c r="BQ881" t="s">
        <v>74</v>
      </c>
      <c r="BR881" t="s">
        <v>97</v>
      </c>
      <c r="BS881" t="s">
        <v>11660</v>
      </c>
      <c r="BT881" t="str">
        <f>HYPERLINK("https%3A%2F%2Fwww.webofscience.com%2Fwos%2Fwoscc%2Ffull-record%2FWOS:000087503800047","View Full Record in Web of Science")</f>
        <v>View Full Record in Web of Science</v>
      </c>
    </row>
    <row r="882" spans="1:72" x14ac:dyDescent="0.15">
      <c r="A882" t="s">
        <v>72</v>
      </c>
      <c r="B882" t="s">
        <v>7410</v>
      </c>
      <c r="C882" t="s">
        <v>74</v>
      </c>
      <c r="D882" t="s">
        <v>74</v>
      </c>
      <c r="E882" t="s">
        <v>74</v>
      </c>
      <c r="F882" t="s">
        <v>7410</v>
      </c>
      <c r="G882" t="s">
        <v>74</v>
      </c>
      <c r="H882" t="s">
        <v>74</v>
      </c>
      <c r="I882" t="s">
        <v>11661</v>
      </c>
      <c r="J882" t="s">
        <v>4824</v>
      </c>
      <c r="K882" t="s">
        <v>74</v>
      </c>
      <c r="L882" t="s">
        <v>74</v>
      </c>
      <c r="M882" t="s">
        <v>77</v>
      </c>
      <c r="N882" t="s">
        <v>78</v>
      </c>
      <c r="O882" t="s">
        <v>74</v>
      </c>
      <c r="P882" t="s">
        <v>74</v>
      </c>
      <c r="Q882" t="s">
        <v>74</v>
      </c>
      <c r="R882" t="s">
        <v>74</v>
      </c>
      <c r="S882" t="s">
        <v>74</v>
      </c>
      <c r="T882" t="s">
        <v>74</v>
      </c>
      <c r="U882" t="s">
        <v>11662</v>
      </c>
      <c r="V882" t="s">
        <v>11663</v>
      </c>
      <c r="W882" t="s">
        <v>7415</v>
      </c>
      <c r="X882" t="s">
        <v>7416</v>
      </c>
      <c r="Y882" t="s">
        <v>7417</v>
      </c>
      <c r="Z882" t="s">
        <v>74</v>
      </c>
      <c r="AA882" t="s">
        <v>74</v>
      </c>
      <c r="AB882" t="s">
        <v>74</v>
      </c>
      <c r="AC882" t="s">
        <v>74</v>
      </c>
      <c r="AD882" t="s">
        <v>74</v>
      </c>
      <c r="AE882" t="s">
        <v>74</v>
      </c>
      <c r="AF882" t="s">
        <v>74</v>
      </c>
      <c r="AG882">
        <v>75</v>
      </c>
      <c r="AH882">
        <v>25</v>
      </c>
      <c r="AI882">
        <v>25</v>
      </c>
      <c r="AJ882">
        <v>0</v>
      </c>
      <c r="AK882">
        <v>18</v>
      </c>
      <c r="AL882" t="s">
        <v>4832</v>
      </c>
      <c r="AM882" t="s">
        <v>1060</v>
      </c>
      <c r="AN882" t="s">
        <v>4833</v>
      </c>
      <c r="AO882" t="s">
        <v>4834</v>
      </c>
      <c r="AP882" t="s">
        <v>6219</v>
      </c>
      <c r="AQ882" t="s">
        <v>74</v>
      </c>
      <c r="AR882" t="s">
        <v>4835</v>
      </c>
      <c r="AS882" t="s">
        <v>4836</v>
      </c>
      <c r="AT882" t="s">
        <v>11664</v>
      </c>
      <c r="AU882">
        <v>2000</v>
      </c>
      <c r="AV882">
        <v>104</v>
      </c>
      <c r="AW882">
        <v>22</v>
      </c>
      <c r="AX882" t="s">
        <v>74</v>
      </c>
      <c r="AY882" t="s">
        <v>74</v>
      </c>
      <c r="AZ882" t="s">
        <v>74</v>
      </c>
      <c r="BA882" t="s">
        <v>74</v>
      </c>
      <c r="BB882">
        <v>5307</v>
      </c>
      <c r="BC882">
        <v>5319</v>
      </c>
      <c r="BD882" t="s">
        <v>74</v>
      </c>
      <c r="BE882" t="s">
        <v>11665</v>
      </c>
      <c r="BF882" t="str">
        <f>HYPERLINK("http://dx.doi.org/10.1021/jp994279l","http://dx.doi.org/10.1021/jp994279l")</f>
        <v>http://dx.doi.org/10.1021/jp994279l</v>
      </c>
      <c r="BG882" t="s">
        <v>74</v>
      </c>
      <c r="BH882" t="s">
        <v>74</v>
      </c>
      <c r="BI882">
        <v>13</v>
      </c>
      <c r="BJ882" t="s">
        <v>4839</v>
      </c>
      <c r="BK882" t="s">
        <v>94</v>
      </c>
      <c r="BL882" t="s">
        <v>4840</v>
      </c>
      <c r="BM882" t="s">
        <v>11666</v>
      </c>
      <c r="BN882" t="s">
        <v>74</v>
      </c>
      <c r="BO882" t="s">
        <v>74</v>
      </c>
      <c r="BP882" t="s">
        <v>74</v>
      </c>
      <c r="BQ882" t="s">
        <v>74</v>
      </c>
      <c r="BR882" t="s">
        <v>97</v>
      </c>
      <c r="BS882" t="s">
        <v>11667</v>
      </c>
      <c r="BT882" t="str">
        <f>HYPERLINK("https%3A%2F%2Fwww.webofscience.com%2Fwos%2Fwoscc%2Ffull-record%2FWOS:000088943500021","View Full Record in Web of Science")</f>
        <v>View Full Record in Web of Science</v>
      </c>
    </row>
    <row r="883" spans="1:72" x14ac:dyDescent="0.15">
      <c r="A883" t="s">
        <v>72</v>
      </c>
      <c r="B883" t="s">
        <v>11668</v>
      </c>
      <c r="C883" t="s">
        <v>74</v>
      </c>
      <c r="D883" t="s">
        <v>74</v>
      </c>
      <c r="E883" t="s">
        <v>74</v>
      </c>
      <c r="F883" t="s">
        <v>11668</v>
      </c>
      <c r="G883" t="s">
        <v>74</v>
      </c>
      <c r="H883" t="s">
        <v>74</v>
      </c>
      <c r="I883" t="s">
        <v>11669</v>
      </c>
      <c r="J883" t="s">
        <v>11670</v>
      </c>
      <c r="K883" t="s">
        <v>74</v>
      </c>
      <c r="L883" t="s">
        <v>74</v>
      </c>
      <c r="M883" t="s">
        <v>77</v>
      </c>
      <c r="N883" t="s">
        <v>78</v>
      </c>
      <c r="O883" t="s">
        <v>74</v>
      </c>
      <c r="P883" t="s">
        <v>74</v>
      </c>
      <c r="Q883" t="s">
        <v>74</v>
      </c>
      <c r="R883" t="s">
        <v>74</v>
      </c>
      <c r="S883" t="s">
        <v>74</v>
      </c>
      <c r="T883" t="s">
        <v>11671</v>
      </c>
      <c r="U883" t="s">
        <v>11672</v>
      </c>
      <c r="V883" t="s">
        <v>11673</v>
      </c>
      <c r="W883" t="s">
        <v>11674</v>
      </c>
      <c r="X883" t="s">
        <v>11675</v>
      </c>
      <c r="Y883" t="s">
        <v>11676</v>
      </c>
      <c r="Z883" t="s">
        <v>11677</v>
      </c>
      <c r="AA883" t="s">
        <v>74</v>
      </c>
      <c r="AB883" t="s">
        <v>74</v>
      </c>
      <c r="AC883" t="s">
        <v>74</v>
      </c>
      <c r="AD883" t="s">
        <v>74</v>
      </c>
      <c r="AE883" t="s">
        <v>74</v>
      </c>
      <c r="AF883" t="s">
        <v>74</v>
      </c>
      <c r="AG883">
        <v>47</v>
      </c>
      <c r="AH883">
        <v>144</v>
      </c>
      <c r="AI883">
        <v>162</v>
      </c>
      <c r="AJ883">
        <v>4</v>
      </c>
      <c r="AK883">
        <v>104</v>
      </c>
      <c r="AL883" t="s">
        <v>11678</v>
      </c>
      <c r="AM883" t="s">
        <v>1208</v>
      </c>
      <c r="AN883" t="s">
        <v>11679</v>
      </c>
      <c r="AO883" t="s">
        <v>11680</v>
      </c>
      <c r="AP883" t="s">
        <v>74</v>
      </c>
      <c r="AQ883" t="s">
        <v>74</v>
      </c>
      <c r="AR883" t="s">
        <v>11681</v>
      </c>
      <c r="AS883" t="s">
        <v>11682</v>
      </c>
      <c r="AT883" t="s">
        <v>11683</v>
      </c>
      <c r="AU883">
        <v>2000</v>
      </c>
      <c r="AV883">
        <v>267</v>
      </c>
      <c r="AW883">
        <v>1448</v>
      </c>
      <c r="AX883" t="s">
        <v>74</v>
      </c>
      <c r="AY883" t="s">
        <v>74</v>
      </c>
      <c r="AZ883" t="s">
        <v>74</v>
      </c>
      <c r="BA883" t="s">
        <v>74</v>
      </c>
      <c r="BB883">
        <v>1081</v>
      </c>
      <c r="BC883">
        <v>1087</v>
      </c>
      <c r="BD883" t="s">
        <v>74</v>
      </c>
      <c r="BE883" t="s">
        <v>11684</v>
      </c>
      <c r="BF883" t="str">
        <f>HYPERLINK("http://dx.doi.org/10.1098/rspb.2000.1112","http://dx.doi.org/10.1098/rspb.2000.1112")</f>
        <v>http://dx.doi.org/10.1098/rspb.2000.1112</v>
      </c>
      <c r="BG883" t="s">
        <v>74</v>
      </c>
      <c r="BH883" t="s">
        <v>74</v>
      </c>
      <c r="BI883">
        <v>7</v>
      </c>
      <c r="BJ883" t="s">
        <v>11685</v>
      </c>
      <c r="BK883" t="s">
        <v>94</v>
      </c>
      <c r="BL883" t="s">
        <v>11686</v>
      </c>
      <c r="BM883" t="s">
        <v>11687</v>
      </c>
      <c r="BN883">
        <v>10885512</v>
      </c>
      <c r="BO883" t="s">
        <v>1337</v>
      </c>
      <c r="BP883" t="s">
        <v>74</v>
      </c>
      <c r="BQ883" t="s">
        <v>74</v>
      </c>
      <c r="BR883" t="s">
        <v>97</v>
      </c>
      <c r="BS883" t="s">
        <v>11688</v>
      </c>
      <c r="BT883" t="str">
        <f>HYPERLINK("https%3A%2F%2Fwww.webofscience.com%2Fwos%2Fwoscc%2Ffull-record%2FWOS:000087617500003","View Full Record in Web of Science")</f>
        <v>View Full Record in Web of Science</v>
      </c>
    </row>
    <row r="884" spans="1:72" x14ac:dyDescent="0.15">
      <c r="A884" t="s">
        <v>72</v>
      </c>
      <c r="B884" t="s">
        <v>8463</v>
      </c>
      <c r="C884" t="s">
        <v>74</v>
      </c>
      <c r="D884" t="s">
        <v>74</v>
      </c>
      <c r="E884" t="s">
        <v>74</v>
      </c>
      <c r="F884" t="s">
        <v>8463</v>
      </c>
      <c r="G884" t="s">
        <v>74</v>
      </c>
      <c r="H884" t="s">
        <v>74</v>
      </c>
      <c r="I884" t="s">
        <v>11689</v>
      </c>
      <c r="J884" t="s">
        <v>8465</v>
      </c>
      <c r="K884" t="s">
        <v>74</v>
      </c>
      <c r="L884" t="s">
        <v>74</v>
      </c>
      <c r="M884" t="s">
        <v>77</v>
      </c>
      <c r="N884" t="s">
        <v>5419</v>
      </c>
      <c r="O884" t="s">
        <v>74</v>
      </c>
      <c r="P884" t="s">
        <v>74</v>
      </c>
      <c r="Q884" t="s">
        <v>74</v>
      </c>
      <c r="R884" t="s">
        <v>74</v>
      </c>
      <c r="S884" t="s">
        <v>74</v>
      </c>
      <c r="T884" t="s">
        <v>74</v>
      </c>
      <c r="U884" t="s">
        <v>74</v>
      </c>
      <c r="V884" t="s">
        <v>74</v>
      </c>
      <c r="W884" t="s">
        <v>11690</v>
      </c>
      <c r="X884" t="s">
        <v>8242</v>
      </c>
      <c r="Y884" t="s">
        <v>11691</v>
      </c>
      <c r="Z884" t="s">
        <v>74</v>
      </c>
      <c r="AA884" t="s">
        <v>74</v>
      </c>
      <c r="AB884" t="s">
        <v>74</v>
      </c>
      <c r="AC884" t="s">
        <v>74</v>
      </c>
      <c r="AD884" t="s">
        <v>74</v>
      </c>
      <c r="AE884" t="s">
        <v>74</v>
      </c>
      <c r="AF884" t="s">
        <v>74</v>
      </c>
      <c r="AG884">
        <v>1</v>
      </c>
      <c r="AH884">
        <v>0</v>
      </c>
      <c r="AI884">
        <v>0</v>
      </c>
      <c r="AJ884">
        <v>0</v>
      </c>
      <c r="AK884">
        <v>0</v>
      </c>
      <c r="AL884" t="s">
        <v>8468</v>
      </c>
      <c r="AM884" t="s">
        <v>8469</v>
      </c>
      <c r="AN884" t="s">
        <v>8470</v>
      </c>
      <c r="AO884" t="s">
        <v>8471</v>
      </c>
      <c r="AP884" t="s">
        <v>74</v>
      </c>
      <c r="AQ884" t="s">
        <v>74</v>
      </c>
      <c r="AR884" t="s">
        <v>8472</v>
      </c>
      <c r="AS884" t="s">
        <v>8473</v>
      </c>
      <c r="AT884" t="s">
        <v>11692</v>
      </c>
      <c r="AU884">
        <v>2000</v>
      </c>
      <c r="AV884">
        <v>60</v>
      </c>
      <c r="AW884">
        <v>3</v>
      </c>
      <c r="AX884" t="s">
        <v>74</v>
      </c>
      <c r="AY884" t="s">
        <v>74</v>
      </c>
      <c r="AZ884" t="s">
        <v>74</v>
      </c>
      <c r="BA884" t="s">
        <v>74</v>
      </c>
      <c r="BB884">
        <v>328</v>
      </c>
      <c r="BC884">
        <v>330</v>
      </c>
      <c r="BD884" t="s">
        <v>74</v>
      </c>
      <c r="BE884" t="s">
        <v>74</v>
      </c>
      <c r="BF884" t="s">
        <v>74</v>
      </c>
      <c r="BG884" t="s">
        <v>74</v>
      </c>
      <c r="BH884" t="s">
        <v>74</v>
      </c>
      <c r="BI884">
        <v>3</v>
      </c>
      <c r="BJ884" t="s">
        <v>5426</v>
      </c>
      <c r="BK884" t="s">
        <v>5427</v>
      </c>
      <c r="BL884" t="s">
        <v>5426</v>
      </c>
      <c r="BM884" t="s">
        <v>11693</v>
      </c>
      <c r="BN884" t="s">
        <v>74</v>
      </c>
      <c r="BO884" t="s">
        <v>74</v>
      </c>
      <c r="BP884" t="s">
        <v>74</v>
      </c>
      <c r="BQ884" t="s">
        <v>74</v>
      </c>
      <c r="BR884" t="s">
        <v>97</v>
      </c>
      <c r="BS884" t="s">
        <v>11694</v>
      </c>
      <c r="BT884" t="str">
        <f>HYPERLINK("https%3A%2F%2Fwww.webofscience.com%2Fwos%2Fwoscc%2Ffull-record%2FWOS:000172159200019","View Full Record in Web of Science")</f>
        <v>View Full Record in Web of Science</v>
      </c>
    </row>
    <row r="885" spans="1:72" x14ac:dyDescent="0.15">
      <c r="A885" t="s">
        <v>72</v>
      </c>
      <c r="B885" t="s">
        <v>11695</v>
      </c>
      <c r="C885" t="s">
        <v>74</v>
      </c>
      <c r="D885" t="s">
        <v>74</v>
      </c>
      <c r="E885" t="s">
        <v>74</v>
      </c>
      <c r="F885" t="s">
        <v>11695</v>
      </c>
      <c r="G885" t="s">
        <v>74</v>
      </c>
      <c r="H885" t="s">
        <v>74</v>
      </c>
      <c r="I885" t="s">
        <v>11696</v>
      </c>
      <c r="J885" t="s">
        <v>8465</v>
      </c>
      <c r="K885" t="s">
        <v>74</v>
      </c>
      <c r="L885" t="s">
        <v>74</v>
      </c>
      <c r="M885" t="s">
        <v>77</v>
      </c>
      <c r="N885" t="s">
        <v>5419</v>
      </c>
      <c r="O885" t="s">
        <v>74</v>
      </c>
      <c r="P885" t="s">
        <v>74</v>
      </c>
      <c r="Q885" t="s">
        <v>74</v>
      </c>
      <c r="R885" t="s">
        <v>74</v>
      </c>
      <c r="S885" t="s">
        <v>74</v>
      </c>
      <c r="T885" t="s">
        <v>74</v>
      </c>
      <c r="U885" t="s">
        <v>74</v>
      </c>
      <c r="V885" t="s">
        <v>74</v>
      </c>
      <c r="W885" t="s">
        <v>11697</v>
      </c>
      <c r="X885" t="s">
        <v>74</v>
      </c>
      <c r="Y885" t="s">
        <v>11698</v>
      </c>
      <c r="Z885" t="s">
        <v>74</v>
      </c>
      <c r="AA885" t="s">
        <v>74</v>
      </c>
      <c r="AB885" t="s">
        <v>74</v>
      </c>
      <c r="AC885" t="s">
        <v>74</v>
      </c>
      <c r="AD885" t="s">
        <v>74</v>
      </c>
      <c r="AE885" t="s">
        <v>74</v>
      </c>
      <c r="AF885" t="s">
        <v>74</v>
      </c>
      <c r="AG885">
        <v>1</v>
      </c>
      <c r="AH885">
        <v>0</v>
      </c>
      <c r="AI885">
        <v>0</v>
      </c>
      <c r="AJ885">
        <v>0</v>
      </c>
      <c r="AK885">
        <v>0</v>
      </c>
      <c r="AL885" t="s">
        <v>8468</v>
      </c>
      <c r="AM885" t="s">
        <v>8469</v>
      </c>
      <c r="AN885" t="s">
        <v>8470</v>
      </c>
      <c r="AO885" t="s">
        <v>8471</v>
      </c>
      <c r="AP885" t="s">
        <v>74</v>
      </c>
      <c r="AQ885" t="s">
        <v>74</v>
      </c>
      <c r="AR885" t="s">
        <v>8472</v>
      </c>
      <c r="AS885" t="s">
        <v>8473</v>
      </c>
      <c r="AT885" t="s">
        <v>11692</v>
      </c>
      <c r="AU885">
        <v>2000</v>
      </c>
      <c r="AV885">
        <v>60</v>
      </c>
      <c r="AW885">
        <v>3</v>
      </c>
      <c r="AX885" t="s">
        <v>74</v>
      </c>
      <c r="AY885" t="s">
        <v>74</v>
      </c>
      <c r="AZ885" t="s">
        <v>74</v>
      </c>
      <c r="BA885" t="s">
        <v>74</v>
      </c>
      <c r="BB885">
        <v>335</v>
      </c>
      <c r="BC885">
        <v>336</v>
      </c>
      <c r="BD885" t="s">
        <v>74</v>
      </c>
      <c r="BE885" t="s">
        <v>74</v>
      </c>
      <c r="BF885" t="s">
        <v>74</v>
      </c>
      <c r="BG885" t="s">
        <v>74</v>
      </c>
      <c r="BH885" t="s">
        <v>74</v>
      </c>
      <c r="BI885">
        <v>2</v>
      </c>
      <c r="BJ885" t="s">
        <v>5426</v>
      </c>
      <c r="BK885" t="s">
        <v>5427</v>
      </c>
      <c r="BL885" t="s">
        <v>5426</v>
      </c>
      <c r="BM885" t="s">
        <v>11693</v>
      </c>
      <c r="BN885" t="s">
        <v>74</v>
      </c>
      <c r="BO885" t="s">
        <v>74</v>
      </c>
      <c r="BP885" t="s">
        <v>74</v>
      </c>
      <c r="BQ885" t="s">
        <v>74</v>
      </c>
      <c r="BR885" t="s">
        <v>97</v>
      </c>
      <c r="BS885" t="s">
        <v>11699</v>
      </c>
      <c r="BT885" t="str">
        <f>HYPERLINK("https%3A%2F%2Fwww.webofscience.com%2Fwos%2Fwoscc%2Ffull-record%2FWOS:000172159200024","View Full Record in Web of Science")</f>
        <v>View Full Record in Web of Science</v>
      </c>
    </row>
    <row r="886" spans="1:72" x14ac:dyDescent="0.15">
      <c r="A886" t="s">
        <v>72</v>
      </c>
      <c r="B886" t="s">
        <v>11700</v>
      </c>
      <c r="C886" t="s">
        <v>74</v>
      </c>
      <c r="D886" t="s">
        <v>74</v>
      </c>
      <c r="E886" t="s">
        <v>74</v>
      </c>
      <c r="F886" t="s">
        <v>11700</v>
      </c>
      <c r="G886" t="s">
        <v>74</v>
      </c>
      <c r="H886" t="s">
        <v>74</v>
      </c>
      <c r="I886" t="s">
        <v>11701</v>
      </c>
      <c r="J886" t="s">
        <v>6382</v>
      </c>
      <c r="K886" t="s">
        <v>74</v>
      </c>
      <c r="L886" t="s">
        <v>74</v>
      </c>
      <c r="M886" t="s">
        <v>77</v>
      </c>
      <c r="N886" t="s">
        <v>78</v>
      </c>
      <c r="O886" t="s">
        <v>74</v>
      </c>
      <c r="P886" t="s">
        <v>74</v>
      </c>
      <c r="Q886" t="s">
        <v>74</v>
      </c>
      <c r="R886" t="s">
        <v>74</v>
      </c>
      <c r="S886" t="s">
        <v>74</v>
      </c>
      <c r="T886" t="s">
        <v>11702</v>
      </c>
      <c r="U886" t="s">
        <v>11703</v>
      </c>
      <c r="V886" t="s">
        <v>11704</v>
      </c>
      <c r="W886" t="s">
        <v>11705</v>
      </c>
      <c r="X886" t="s">
        <v>11706</v>
      </c>
      <c r="Y886" t="s">
        <v>11707</v>
      </c>
      <c r="Z886" t="s">
        <v>11708</v>
      </c>
      <c r="AA886" t="s">
        <v>11709</v>
      </c>
      <c r="AB886" t="s">
        <v>11710</v>
      </c>
      <c r="AC886" t="s">
        <v>74</v>
      </c>
      <c r="AD886" t="s">
        <v>74</v>
      </c>
      <c r="AE886" t="s">
        <v>74</v>
      </c>
      <c r="AF886" t="s">
        <v>74</v>
      </c>
      <c r="AG886">
        <v>69</v>
      </c>
      <c r="AH886">
        <v>120</v>
      </c>
      <c r="AI886">
        <v>127</v>
      </c>
      <c r="AJ886">
        <v>0</v>
      </c>
      <c r="AK886">
        <v>21</v>
      </c>
      <c r="AL886" t="s">
        <v>906</v>
      </c>
      <c r="AM886" t="s">
        <v>160</v>
      </c>
      <c r="AN886" t="s">
        <v>890</v>
      </c>
      <c r="AO886" t="s">
        <v>6392</v>
      </c>
      <c r="AP886" t="s">
        <v>74</v>
      </c>
      <c r="AQ886" t="s">
        <v>74</v>
      </c>
      <c r="AR886" t="s">
        <v>6393</v>
      </c>
      <c r="AS886" t="s">
        <v>6394</v>
      </c>
      <c r="AT886" t="s">
        <v>11711</v>
      </c>
      <c r="AU886">
        <v>2000</v>
      </c>
      <c r="AV886">
        <v>18</v>
      </c>
      <c r="AW886">
        <v>6</v>
      </c>
      <c r="AX886" t="s">
        <v>74</v>
      </c>
      <c r="AY886" t="s">
        <v>74</v>
      </c>
      <c r="AZ886" t="s">
        <v>74</v>
      </c>
      <c r="BA886" t="s">
        <v>74</v>
      </c>
      <c r="BB886">
        <v>687</v>
      </c>
      <c r="BC886">
        <v>705</v>
      </c>
      <c r="BD886" t="s">
        <v>74</v>
      </c>
      <c r="BE886" t="s">
        <v>11712</v>
      </c>
      <c r="BF886" t="str">
        <f>HYPERLINK("http://dx.doi.org/10.1007/s00585-000-0687-5","http://dx.doi.org/10.1007/s00585-000-0687-5")</f>
        <v>http://dx.doi.org/10.1007/s00585-000-0687-5</v>
      </c>
      <c r="BG886" t="s">
        <v>74</v>
      </c>
      <c r="BH886" t="s">
        <v>74</v>
      </c>
      <c r="BI886">
        <v>19</v>
      </c>
      <c r="BJ886" t="s">
        <v>6397</v>
      </c>
      <c r="BK886" t="s">
        <v>94</v>
      </c>
      <c r="BL886" t="s">
        <v>6398</v>
      </c>
      <c r="BM886" t="s">
        <v>11713</v>
      </c>
      <c r="BN886" t="s">
        <v>74</v>
      </c>
      <c r="BO886" t="s">
        <v>6400</v>
      </c>
      <c r="BP886" t="s">
        <v>74</v>
      </c>
      <c r="BQ886" t="s">
        <v>74</v>
      </c>
      <c r="BR886" t="s">
        <v>97</v>
      </c>
      <c r="BS886" t="s">
        <v>11714</v>
      </c>
      <c r="BT886" t="str">
        <f>HYPERLINK("https%3A%2F%2Fwww.webofscience.com%2Fwos%2Fwoscc%2Ffull-record%2FWOS:000088318800010","View Full Record in Web of Science")</f>
        <v>View Full Record in Web of Science</v>
      </c>
    </row>
    <row r="887" spans="1:72" x14ac:dyDescent="0.15">
      <c r="A887" t="s">
        <v>72</v>
      </c>
      <c r="B887" t="s">
        <v>11715</v>
      </c>
      <c r="C887" t="s">
        <v>74</v>
      </c>
      <c r="D887" t="s">
        <v>74</v>
      </c>
      <c r="E887" t="s">
        <v>74</v>
      </c>
      <c r="F887" t="s">
        <v>11715</v>
      </c>
      <c r="G887" t="s">
        <v>74</v>
      </c>
      <c r="H887" t="s">
        <v>74</v>
      </c>
      <c r="I887" t="s">
        <v>11716</v>
      </c>
      <c r="J887" t="s">
        <v>5085</v>
      </c>
      <c r="K887" t="s">
        <v>74</v>
      </c>
      <c r="L887" t="s">
        <v>74</v>
      </c>
      <c r="M887" t="s">
        <v>77</v>
      </c>
      <c r="N887" t="s">
        <v>2004</v>
      </c>
      <c r="O887" t="s">
        <v>74</v>
      </c>
      <c r="P887" t="s">
        <v>74</v>
      </c>
      <c r="Q887" t="s">
        <v>74</v>
      </c>
      <c r="R887" t="s">
        <v>74</v>
      </c>
      <c r="S887" t="s">
        <v>74</v>
      </c>
      <c r="T887" t="s">
        <v>74</v>
      </c>
      <c r="U887" t="s">
        <v>74</v>
      </c>
      <c r="V887" t="s">
        <v>74</v>
      </c>
      <c r="W887" t="s">
        <v>11717</v>
      </c>
      <c r="X887" t="s">
        <v>11718</v>
      </c>
      <c r="Y887" t="s">
        <v>11719</v>
      </c>
      <c r="Z887" t="s">
        <v>74</v>
      </c>
      <c r="AA887" t="s">
        <v>74</v>
      </c>
      <c r="AB887" t="s">
        <v>11720</v>
      </c>
      <c r="AC887" t="s">
        <v>74</v>
      </c>
      <c r="AD887" t="s">
        <v>74</v>
      </c>
      <c r="AE887" t="s">
        <v>74</v>
      </c>
      <c r="AF887" t="s">
        <v>74</v>
      </c>
      <c r="AG887">
        <v>0</v>
      </c>
      <c r="AH887">
        <v>2</v>
      </c>
      <c r="AI887">
        <v>3</v>
      </c>
      <c r="AJ887">
        <v>0</v>
      </c>
      <c r="AK887">
        <v>0</v>
      </c>
      <c r="AL887" t="s">
        <v>108</v>
      </c>
      <c r="AM887" t="s">
        <v>160</v>
      </c>
      <c r="AN887" t="s">
        <v>5086</v>
      </c>
      <c r="AO887" t="s">
        <v>5087</v>
      </c>
      <c r="AP887" t="s">
        <v>74</v>
      </c>
      <c r="AQ887" t="s">
        <v>74</v>
      </c>
      <c r="AR887" t="s">
        <v>5088</v>
      </c>
      <c r="AS887" t="s">
        <v>5089</v>
      </c>
      <c r="AT887" t="s">
        <v>11711</v>
      </c>
      <c r="AU887">
        <v>2000</v>
      </c>
      <c r="AV887">
        <v>12</v>
      </c>
      <c r="AW887">
        <v>2</v>
      </c>
      <c r="AX887" t="s">
        <v>74</v>
      </c>
      <c r="AY887" t="s">
        <v>74</v>
      </c>
      <c r="AZ887" t="s">
        <v>74</v>
      </c>
      <c r="BA887" t="s">
        <v>74</v>
      </c>
      <c r="BB887">
        <v>129</v>
      </c>
      <c r="BC887">
        <v>129</v>
      </c>
      <c r="BD887" t="s">
        <v>74</v>
      </c>
      <c r="BE887" t="s">
        <v>11721</v>
      </c>
      <c r="BF887" t="str">
        <f>HYPERLINK("http://dx.doi.org/10.1017/S095410200000016X","http://dx.doi.org/10.1017/S095410200000016X")</f>
        <v>http://dx.doi.org/10.1017/S095410200000016X</v>
      </c>
      <c r="BG887" t="s">
        <v>74</v>
      </c>
      <c r="BH887" t="s">
        <v>74</v>
      </c>
      <c r="BI887">
        <v>1</v>
      </c>
      <c r="BJ887" t="s">
        <v>5090</v>
      </c>
      <c r="BK887" t="s">
        <v>94</v>
      </c>
      <c r="BL887" t="s">
        <v>5091</v>
      </c>
      <c r="BM887" t="s">
        <v>11722</v>
      </c>
      <c r="BN887" t="s">
        <v>74</v>
      </c>
      <c r="BO887" t="s">
        <v>1755</v>
      </c>
      <c r="BP887" t="s">
        <v>74</v>
      </c>
      <c r="BQ887" t="s">
        <v>74</v>
      </c>
      <c r="BR887" t="s">
        <v>97</v>
      </c>
      <c r="BS887" t="s">
        <v>11723</v>
      </c>
      <c r="BT887" t="str">
        <f>HYPERLINK("https%3A%2F%2Fwww.webofscience.com%2Fwos%2Fwoscc%2Ffull-record%2FWOS:000087775400001","View Full Record in Web of Science")</f>
        <v>View Full Record in Web of Science</v>
      </c>
    </row>
    <row r="888" spans="1:72" x14ac:dyDescent="0.15">
      <c r="A888" t="s">
        <v>72</v>
      </c>
      <c r="B888" t="s">
        <v>11724</v>
      </c>
      <c r="C888" t="s">
        <v>74</v>
      </c>
      <c r="D888" t="s">
        <v>74</v>
      </c>
      <c r="E888" t="s">
        <v>74</v>
      </c>
      <c r="F888" t="s">
        <v>11724</v>
      </c>
      <c r="G888" t="s">
        <v>74</v>
      </c>
      <c r="H888" t="s">
        <v>74</v>
      </c>
      <c r="I888" t="s">
        <v>11725</v>
      </c>
      <c r="J888" t="s">
        <v>5085</v>
      </c>
      <c r="K888" t="s">
        <v>74</v>
      </c>
      <c r="L888" t="s">
        <v>74</v>
      </c>
      <c r="M888" t="s">
        <v>77</v>
      </c>
      <c r="N888" t="s">
        <v>78</v>
      </c>
      <c r="O888" t="s">
        <v>74</v>
      </c>
      <c r="P888" t="s">
        <v>74</v>
      </c>
      <c r="Q888" t="s">
        <v>74</v>
      </c>
      <c r="R888" t="s">
        <v>74</v>
      </c>
      <c r="S888" t="s">
        <v>74</v>
      </c>
      <c r="T888" t="s">
        <v>11726</v>
      </c>
      <c r="U888" t="s">
        <v>11727</v>
      </c>
      <c r="V888" t="s">
        <v>11728</v>
      </c>
      <c r="W888" t="s">
        <v>11729</v>
      </c>
      <c r="X888" t="s">
        <v>11730</v>
      </c>
      <c r="Y888" t="s">
        <v>11731</v>
      </c>
      <c r="Z888" t="s">
        <v>74</v>
      </c>
      <c r="AA888" t="s">
        <v>11732</v>
      </c>
      <c r="AB888" t="s">
        <v>11733</v>
      </c>
      <c r="AC888" t="s">
        <v>74</v>
      </c>
      <c r="AD888" t="s">
        <v>74</v>
      </c>
      <c r="AE888" t="s">
        <v>74</v>
      </c>
      <c r="AF888" t="s">
        <v>74</v>
      </c>
      <c r="AG888">
        <v>34</v>
      </c>
      <c r="AH888">
        <v>27</v>
      </c>
      <c r="AI888">
        <v>30</v>
      </c>
      <c r="AJ888">
        <v>1</v>
      </c>
      <c r="AK888">
        <v>5</v>
      </c>
      <c r="AL888" t="s">
        <v>108</v>
      </c>
      <c r="AM888" t="s">
        <v>160</v>
      </c>
      <c r="AN888" t="s">
        <v>5086</v>
      </c>
      <c r="AO888" t="s">
        <v>5087</v>
      </c>
      <c r="AP888" t="s">
        <v>74</v>
      </c>
      <c r="AQ888" t="s">
        <v>74</v>
      </c>
      <c r="AR888" t="s">
        <v>5088</v>
      </c>
      <c r="AS888" t="s">
        <v>5089</v>
      </c>
      <c r="AT888" t="s">
        <v>11711</v>
      </c>
      <c r="AU888">
        <v>2000</v>
      </c>
      <c r="AV888">
        <v>12</v>
      </c>
      <c r="AW888">
        <v>2</v>
      </c>
      <c r="AX888" t="s">
        <v>74</v>
      </c>
      <c r="AY888" t="s">
        <v>74</v>
      </c>
      <c r="AZ888" t="s">
        <v>74</v>
      </c>
      <c r="BA888" t="s">
        <v>74</v>
      </c>
      <c r="BB888">
        <v>131</v>
      </c>
      <c r="BC888">
        <v>140</v>
      </c>
      <c r="BD888" t="s">
        <v>74</v>
      </c>
      <c r="BE888" t="s">
        <v>11734</v>
      </c>
      <c r="BF888" t="str">
        <f>HYPERLINK("http://dx.doi.org/10.1017/S0954102000000171","http://dx.doi.org/10.1017/S0954102000000171")</f>
        <v>http://dx.doi.org/10.1017/S0954102000000171</v>
      </c>
      <c r="BG888" t="s">
        <v>74</v>
      </c>
      <c r="BH888" t="s">
        <v>74</v>
      </c>
      <c r="BI888">
        <v>10</v>
      </c>
      <c r="BJ888" t="s">
        <v>5090</v>
      </c>
      <c r="BK888" t="s">
        <v>94</v>
      </c>
      <c r="BL888" t="s">
        <v>5091</v>
      </c>
      <c r="BM888" t="s">
        <v>11722</v>
      </c>
      <c r="BN888">
        <v>11543521</v>
      </c>
      <c r="BO888" t="s">
        <v>74</v>
      </c>
      <c r="BP888" t="s">
        <v>74</v>
      </c>
      <c r="BQ888" t="s">
        <v>74</v>
      </c>
      <c r="BR888" t="s">
        <v>97</v>
      </c>
      <c r="BS888" t="s">
        <v>11735</v>
      </c>
      <c r="BT888" t="str">
        <f>HYPERLINK("https%3A%2F%2Fwww.webofscience.com%2Fwos%2Fwoscc%2Ffull-record%2FWOS:000087775400002","View Full Record in Web of Science")</f>
        <v>View Full Record in Web of Science</v>
      </c>
    </row>
    <row r="889" spans="1:72" x14ac:dyDescent="0.15">
      <c r="A889" t="s">
        <v>72</v>
      </c>
      <c r="B889" t="s">
        <v>11736</v>
      </c>
      <c r="C889" t="s">
        <v>74</v>
      </c>
      <c r="D889" t="s">
        <v>74</v>
      </c>
      <c r="E889" t="s">
        <v>74</v>
      </c>
      <c r="F889" t="s">
        <v>11736</v>
      </c>
      <c r="G889" t="s">
        <v>74</v>
      </c>
      <c r="H889" t="s">
        <v>74</v>
      </c>
      <c r="I889" t="s">
        <v>11737</v>
      </c>
      <c r="J889" t="s">
        <v>5085</v>
      </c>
      <c r="K889" t="s">
        <v>74</v>
      </c>
      <c r="L889" t="s">
        <v>74</v>
      </c>
      <c r="M889" t="s">
        <v>77</v>
      </c>
      <c r="N889" t="s">
        <v>78</v>
      </c>
      <c r="O889" t="s">
        <v>74</v>
      </c>
      <c r="P889" t="s">
        <v>74</v>
      </c>
      <c r="Q889" t="s">
        <v>74</v>
      </c>
      <c r="R889" t="s">
        <v>74</v>
      </c>
      <c r="S889" t="s">
        <v>74</v>
      </c>
      <c r="T889" t="s">
        <v>11738</v>
      </c>
      <c r="U889" t="s">
        <v>11739</v>
      </c>
      <c r="V889" t="s">
        <v>11740</v>
      </c>
      <c r="W889" t="s">
        <v>11741</v>
      </c>
      <c r="X889" t="s">
        <v>11742</v>
      </c>
      <c r="Y889" t="s">
        <v>11743</v>
      </c>
      <c r="Z889" t="s">
        <v>74</v>
      </c>
      <c r="AA889" t="s">
        <v>11744</v>
      </c>
      <c r="AB889" t="s">
        <v>11745</v>
      </c>
      <c r="AC889" t="s">
        <v>74</v>
      </c>
      <c r="AD889" t="s">
        <v>74</v>
      </c>
      <c r="AE889" t="s">
        <v>74</v>
      </c>
      <c r="AF889" t="s">
        <v>74</v>
      </c>
      <c r="AG889">
        <v>28</v>
      </c>
      <c r="AH889">
        <v>21</v>
      </c>
      <c r="AI889">
        <v>22</v>
      </c>
      <c r="AJ889">
        <v>0</v>
      </c>
      <c r="AK889">
        <v>8</v>
      </c>
      <c r="AL889" t="s">
        <v>108</v>
      </c>
      <c r="AM889" t="s">
        <v>160</v>
      </c>
      <c r="AN889" t="s">
        <v>965</v>
      </c>
      <c r="AO889" t="s">
        <v>5087</v>
      </c>
      <c r="AP889" t="s">
        <v>5108</v>
      </c>
      <c r="AQ889" t="s">
        <v>74</v>
      </c>
      <c r="AR889" t="s">
        <v>5088</v>
      </c>
      <c r="AS889" t="s">
        <v>5089</v>
      </c>
      <c r="AT889" t="s">
        <v>11711</v>
      </c>
      <c r="AU889">
        <v>2000</v>
      </c>
      <c r="AV889">
        <v>12</v>
      </c>
      <c r="AW889">
        <v>2</v>
      </c>
      <c r="AX889" t="s">
        <v>74</v>
      </c>
      <c r="AY889" t="s">
        <v>74</v>
      </c>
      <c r="AZ889" t="s">
        <v>74</v>
      </c>
      <c r="BA889" t="s">
        <v>74</v>
      </c>
      <c r="BB889">
        <v>141</v>
      </c>
      <c r="BC889">
        <v>148</v>
      </c>
      <c r="BD889" t="s">
        <v>74</v>
      </c>
      <c r="BE889" t="s">
        <v>11746</v>
      </c>
      <c r="BF889" t="str">
        <f>HYPERLINK("http://dx.doi.org/10.1017/S0954102000000183","http://dx.doi.org/10.1017/S0954102000000183")</f>
        <v>http://dx.doi.org/10.1017/S0954102000000183</v>
      </c>
      <c r="BG889" t="s">
        <v>74</v>
      </c>
      <c r="BH889" t="s">
        <v>74</v>
      </c>
      <c r="BI889">
        <v>8</v>
      </c>
      <c r="BJ889" t="s">
        <v>5090</v>
      </c>
      <c r="BK889" t="s">
        <v>94</v>
      </c>
      <c r="BL889" t="s">
        <v>5091</v>
      </c>
      <c r="BM889" t="s">
        <v>11722</v>
      </c>
      <c r="BN889" t="s">
        <v>74</v>
      </c>
      <c r="BO889" t="s">
        <v>74</v>
      </c>
      <c r="BP889" t="s">
        <v>74</v>
      </c>
      <c r="BQ889" t="s">
        <v>74</v>
      </c>
      <c r="BR889" t="s">
        <v>97</v>
      </c>
      <c r="BS889" t="s">
        <v>11747</v>
      </c>
      <c r="BT889" t="str">
        <f>HYPERLINK("https%3A%2F%2Fwww.webofscience.com%2Fwos%2Fwoscc%2Ffull-record%2FWOS:000087775400003","View Full Record in Web of Science")</f>
        <v>View Full Record in Web of Science</v>
      </c>
    </row>
    <row r="890" spans="1:72" x14ac:dyDescent="0.15">
      <c r="A890" t="s">
        <v>72</v>
      </c>
      <c r="B890" t="s">
        <v>11748</v>
      </c>
      <c r="C890" t="s">
        <v>74</v>
      </c>
      <c r="D890" t="s">
        <v>74</v>
      </c>
      <c r="E890" t="s">
        <v>74</v>
      </c>
      <c r="F890" t="s">
        <v>11748</v>
      </c>
      <c r="G890" t="s">
        <v>74</v>
      </c>
      <c r="H890" t="s">
        <v>74</v>
      </c>
      <c r="I890" t="s">
        <v>11749</v>
      </c>
      <c r="J890" t="s">
        <v>5085</v>
      </c>
      <c r="K890" t="s">
        <v>74</v>
      </c>
      <c r="L890" t="s">
        <v>74</v>
      </c>
      <c r="M890" t="s">
        <v>77</v>
      </c>
      <c r="N890" t="s">
        <v>78</v>
      </c>
      <c r="O890" t="s">
        <v>74</v>
      </c>
      <c r="P890" t="s">
        <v>74</v>
      </c>
      <c r="Q890" t="s">
        <v>74</v>
      </c>
      <c r="R890" t="s">
        <v>74</v>
      </c>
      <c r="S890" t="s">
        <v>74</v>
      </c>
      <c r="T890" t="s">
        <v>11750</v>
      </c>
      <c r="U890" t="s">
        <v>11751</v>
      </c>
      <c r="V890" t="s">
        <v>11752</v>
      </c>
      <c r="W890" t="s">
        <v>11753</v>
      </c>
      <c r="X890" t="s">
        <v>11754</v>
      </c>
      <c r="Y890" t="s">
        <v>11755</v>
      </c>
      <c r="Z890" t="s">
        <v>74</v>
      </c>
      <c r="AA890" t="s">
        <v>11756</v>
      </c>
      <c r="AB890" t="s">
        <v>9878</v>
      </c>
      <c r="AC890" t="s">
        <v>74</v>
      </c>
      <c r="AD890" t="s">
        <v>74</v>
      </c>
      <c r="AE890" t="s">
        <v>74</v>
      </c>
      <c r="AF890" t="s">
        <v>74</v>
      </c>
      <c r="AG890">
        <v>56</v>
      </c>
      <c r="AH890">
        <v>154</v>
      </c>
      <c r="AI890">
        <v>164</v>
      </c>
      <c r="AJ890">
        <v>1</v>
      </c>
      <c r="AK890">
        <v>33</v>
      </c>
      <c r="AL890" t="s">
        <v>108</v>
      </c>
      <c r="AM890" t="s">
        <v>160</v>
      </c>
      <c r="AN890" t="s">
        <v>5086</v>
      </c>
      <c r="AO890" t="s">
        <v>5087</v>
      </c>
      <c r="AP890" t="s">
        <v>74</v>
      </c>
      <c r="AQ890" t="s">
        <v>74</v>
      </c>
      <c r="AR890" t="s">
        <v>5088</v>
      </c>
      <c r="AS890" t="s">
        <v>5089</v>
      </c>
      <c r="AT890" t="s">
        <v>11711</v>
      </c>
      <c r="AU890">
        <v>2000</v>
      </c>
      <c r="AV890">
        <v>12</v>
      </c>
      <c r="AW890">
        <v>2</v>
      </c>
      <c r="AX890" t="s">
        <v>74</v>
      </c>
      <c r="AY890" t="s">
        <v>74</v>
      </c>
      <c r="AZ890" t="s">
        <v>74</v>
      </c>
      <c r="BA890" t="s">
        <v>74</v>
      </c>
      <c r="BB890">
        <v>149</v>
      </c>
      <c r="BC890">
        <v>153</v>
      </c>
      <c r="BD890" t="s">
        <v>74</v>
      </c>
      <c r="BE890" t="s">
        <v>11757</v>
      </c>
      <c r="BF890" t="str">
        <f>HYPERLINK("http://dx.doi.org/10.1017/S0954102000000195","http://dx.doi.org/10.1017/S0954102000000195")</f>
        <v>http://dx.doi.org/10.1017/S0954102000000195</v>
      </c>
      <c r="BG890" t="s">
        <v>74</v>
      </c>
      <c r="BH890" t="s">
        <v>74</v>
      </c>
      <c r="BI890">
        <v>5</v>
      </c>
      <c r="BJ890" t="s">
        <v>5090</v>
      </c>
      <c r="BK890" t="s">
        <v>94</v>
      </c>
      <c r="BL890" t="s">
        <v>5091</v>
      </c>
      <c r="BM890" t="s">
        <v>11722</v>
      </c>
      <c r="BN890" t="s">
        <v>74</v>
      </c>
      <c r="BO890" t="s">
        <v>74</v>
      </c>
      <c r="BP890" t="s">
        <v>74</v>
      </c>
      <c r="BQ890" t="s">
        <v>74</v>
      </c>
      <c r="BR890" t="s">
        <v>97</v>
      </c>
      <c r="BS890" t="s">
        <v>11758</v>
      </c>
      <c r="BT890" t="str">
        <f>HYPERLINK("https%3A%2F%2Fwww.webofscience.com%2Fwos%2Fwoscc%2Ffull-record%2FWOS:000087775400004","View Full Record in Web of Science")</f>
        <v>View Full Record in Web of Science</v>
      </c>
    </row>
    <row r="891" spans="1:72" x14ac:dyDescent="0.15">
      <c r="A891" t="s">
        <v>72</v>
      </c>
      <c r="B891" t="s">
        <v>11759</v>
      </c>
      <c r="C891" t="s">
        <v>74</v>
      </c>
      <c r="D891" t="s">
        <v>74</v>
      </c>
      <c r="E891" t="s">
        <v>74</v>
      </c>
      <c r="F891" t="s">
        <v>11759</v>
      </c>
      <c r="G891" t="s">
        <v>74</v>
      </c>
      <c r="H891" t="s">
        <v>74</v>
      </c>
      <c r="I891" t="s">
        <v>11760</v>
      </c>
      <c r="J891" t="s">
        <v>5085</v>
      </c>
      <c r="K891" t="s">
        <v>74</v>
      </c>
      <c r="L891" t="s">
        <v>74</v>
      </c>
      <c r="M891" t="s">
        <v>77</v>
      </c>
      <c r="N891" t="s">
        <v>78</v>
      </c>
      <c r="O891" t="s">
        <v>74</v>
      </c>
      <c r="P891" t="s">
        <v>74</v>
      </c>
      <c r="Q891" t="s">
        <v>74</v>
      </c>
      <c r="R891" t="s">
        <v>74</v>
      </c>
      <c r="S891" t="s">
        <v>74</v>
      </c>
      <c r="T891" t="s">
        <v>11761</v>
      </c>
      <c r="U891" t="s">
        <v>11762</v>
      </c>
      <c r="V891" t="s">
        <v>11763</v>
      </c>
      <c r="W891" t="s">
        <v>885</v>
      </c>
      <c r="X891" t="s">
        <v>221</v>
      </c>
      <c r="Y891" t="s">
        <v>11764</v>
      </c>
      <c r="Z891" t="s">
        <v>74</v>
      </c>
      <c r="AA891" t="s">
        <v>6770</v>
      </c>
      <c r="AB891" t="s">
        <v>6771</v>
      </c>
      <c r="AC891" t="s">
        <v>74</v>
      </c>
      <c r="AD891" t="s">
        <v>74</v>
      </c>
      <c r="AE891" t="s">
        <v>74</v>
      </c>
      <c r="AF891" t="s">
        <v>74</v>
      </c>
      <c r="AG891">
        <v>17</v>
      </c>
      <c r="AH891">
        <v>17</v>
      </c>
      <c r="AI891">
        <v>18</v>
      </c>
      <c r="AJ891">
        <v>0</v>
      </c>
      <c r="AK891">
        <v>7</v>
      </c>
      <c r="AL891" t="s">
        <v>108</v>
      </c>
      <c r="AM891" t="s">
        <v>160</v>
      </c>
      <c r="AN891" t="s">
        <v>5086</v>
      </c>
      <c r="AO891" t="s">
        <v>5087</v>
      </c>
      <c r="AP891" t="s">
        <v>74</v>
      </c>
      <c r="AQ891" t="s">
        <v>74</v>
      </c>
      <c r="AR891" t="s">
        <v>5088</v>
      </c>
      <c r="AS891" t="s">
        <v>5089</v>
      </c>
      <c r="AT891" t="s">
        <v>11711</v>
      </c>
      <c r="AU891">
        <v>2000</v>
      </c>
      <c r="AV891">
        <v>12</v>
      </c>
      <c r="AW891">
        <v>2</v>
      </c>
      <c r="AX891" t="s">
        <v>74</v>
      </c>
      <c r="AY891" t="s">
        <v>74</v>
      </c>
      <c r="AZ891" t="s">
        <v>74</v>
      </c>
      <c r="BA891" t="s">
        <v>74</v>
      </c>
      <c r="BB891">
        <v>154</v>
      </c>
      <c r="BC891">
        <v>159</v>
      </c>
      <c r="BD891" t="s">
        <v>74</v>
      </c>
      <c r="BE891" t="s">
        <v>11765</v>
      </c>
      <c r="BF891" t="str">
        <f>HYPERLINK("http://dx.doi.org/10.1017/S0954102000000201","http://dx.doi.org/10.1017/S0954102000000201")</f>
        <v>http://dx.doi.org/10.1017/S0954102000000201</v>
      </c>
      <c r="BG891" t="s">
        <v>74</v>
      </c>
      <c r="BH891" t="s">
        <v>74</v>
      </c>
      <c r="BI891">
        <v>6</v>
      </c>
      <c r="BJ891" t="s">
        <v>5090</v>
      </c>
      <c r="BK891" t="s">
        <v>94</v>
      </c>
      <c r="BL891" t="s">
        <v>5091</v>
      </c>
      <c r="BM891" t="s">
        <v>11722</v>
      </c>
      <c r="BN891" t="s">
        <v>74</v>
      </c>
      <c r="BO891" t="s">
        <v>6776</v>
      </c>
      <c r="BP891" t="s">
        <v>74</v>
      </c>
      <c r="BQ891" t="s">
        <v>74</v>
      </c>
      <c r="BR891" t="s">
        <v>97</v>
      </c>
      <c r="BS891" t="s">
        <v>11766</v>
      </c>
      <c r="BT891" t="str">
        <f>HYPERLINK("https%3A%2F%2Fwww.webofscience.com%2Fwos%2Fwoscc%2Ffull-record%2FWOS:000087775400005","View Full Record in Web of Science")</f>
        <v>View Full Record in Web of Science</v>
      </c>
    </row>
    <row r="892" spans="1:72" x14ac:dyDescent="0.15">
      <c r="A892" t="s">
        <v>72</v>
      </c>
      <c r="B892" t="s">
        <v>11767</v>
      </c>
      <c r="C892" t="s">
        <v>74</v>
      </c>
      <c r="D892" t="s">
        <v>74</v>
      </c>
      <c r="E892" t="s">
        <v>74</v>
      </c>
      <c r="F892" t="s">
        <v>11767</v>
      </c>
      <c r="G892" t="s">
        <v>74</v>
      </c>
      <c r="H892" t="s">
        <v>74</v>
      </c>
      <c r="I892" t="s">
        <v>11768</v>
      </c>
      <c r="J892" t="s">
        <v>5085</v>
      </c>
      <c r="K892" t="s">
        <v>74</v>
      </c>
      <c r="L892" t="s">
        <v>74</v>
      </c>
      <c r="M892" t="s">
        <v>77</v>
      </c>
      <c r="N892" t="s">
        <v>78</v>
      </c>
      <c r="O892" t="s">
        <v>74</v>
      </c>
      <c r="P892" t="s">
        <v>74</v>
      </c>
      <c r="Q892" t="s">
        <v>74</v>
      </c>
      <c r="R892" t="s">
        <v>74</v>
      </c>
      <c r="S892" t="s">
        <v>74</v>
      </c>
      <c r="T892" t="s">
        <v>11769</v>
      </c>
      <c r="U892" t="s">
        <v>11770</v>
      </c>
      <c r="V892" t="s">
        <v>11771</v>
      </c>
      <c r="W892" t="s">
        <v>11772</v>
      </c>
      <c r="X892" t="s">
        <v>11773</v>
      </c>
      <c r="Y892" t="s">
        <v>11774</v>
      </c>
      <c r="Z892" t="s">
        <v>74</v>
      </c>
      <c r="AA892" t="s">
        <v>11775</v>
      </c>
      <c r="AB892" t="s">
        <v>74</v>
      </c>
      <c r="AC892" t="s">
        <v>74</v>
      </c>
      <c r="AD892" t="s">
        <v>74</v>
      </c>
      <c r="AE892" t="s">
        <v>74</v>
      </c>
      <c r="AF892" t="s">
        <v>74</v>
      </c>
      <c r="AG892">
        <v>50</v>
      </c>
      <c r="AH892">
        <v>26</v>
      </c>
      <c r="AI892">
        <v>29</v>
      </c>
      <c r="AJ892">
        <v>0</v>
      </c>
      <c r="AK892">
        <v>8</v>
      </c>
      <c r="AL892" t="s">
        <v>108</v>
      </c>
      <c r="AM892" t="s">
        <v>160</v>
      </c>
      <c r="AN892" t="s">
        <v>965</v>
      </c>
      <c r="AO892" t="s">
        <v>5087</v>
      </c>
      <c r="AP892" t="s">
        <v>5108</v>
      </c>
      <c r="AQ892" t="s">
        <v>74</v>
      </c>
      <c r="AR892" t="s">
        <v>5088</v>
      </c>
      <c r="AS892" t="s">
        <v>5089</v>
      </c>
      <c r="AT892" t="s">
        <v>11711</v>
      </c>
      <c r="AU892">
        <v>2000</v>
      </c>
      <c r="AV892">
        <v>12</v>
      </c>
      <c r="AW892">
        <v>2</v>
      </c>
      <c r="AX892" t="s">
        <v>74</v>
      </c>
      <c r="AY892" t="s">
        <v>74</v>
      </c>
      <c r="AZ892" t="s">
        <v>74</v>
      </c>
      <c r="BA892" t="s">
        <v>74</v>
      </c>
      <c r="BB892">
        <v>160</v>
      </c>
      <c r="BC892">
        <v>171</v>
      </c>
      <c r="BD892" t="s">
        <v>74</v>
      </c>
      <c r="BE892" t="s">
        <v>11776</v>
      </c>
      <c r="BF892" t="str">
        <f>HYPERLINK("http://dx.doi.org/10.1017/S0954102000000213","http://dx.doi.org/10.1017/S0954102000000213")</f>
        <v>http://dx.doi.org/10.1017/S0954102000000213</v>
      </c>
      <c r="BG892" t="s">
        <v>74</v>
      </c>
      <c r="BH892" t="s">
        <v>74</v>
      </c>
      <c r="BI892">
        <v>12</v>
      </c>
      <c r="BJ892" t="s">
        <v>5090</v>
      </c>
      <c r="BK892" t="s">
        <v>94</v>
      </c>
      <c r="BL892" t="s">
        <v>5091</v>
      </c>
      <c r="BM892" t="s">
        <v>11722</v>
      </c>
      <c r="BN892" t="s">
        <v>74</v>
      </c>
      <c r="BO892" t="s">
        <v>74</v>
      </c>
      <c r="BP892" t="s">
        <v>74</v>
      </c>
      <c r="BQ892" t="s">
        <v>74</v>
      </c>
      <c r="BR892" t="s">
        <v>97</v>
      </c>
      <c r="BS892" t="s">
        <v>11777</v>
      </c>
      <c r="BT892" t="str">
        <f>HYPERLINK("https%3A%2F%2Fwww.webofscience.com%2Fwos%2Fwoscc%2Ffull-record%2FWOS:000087775400006","View Full Record in Web of Science")</f>
        <v>View Full Record in Web of Science</v>
      </c>
    </row>
    <row r="893" spans="1:72" x14ac:dyDescent="0.15">
      <c r="A893" t="s">
        <v>72</v>
      </c>
      <c r="B893" t="s">
        <v>11778</v>
      </c>
      <c r="C893" t="s">
        <v>74</v>
      </c>
      <c r="D893" t="s">
        <v>74</v>
      </c>
      <c r="E893" t="s">
        <v>74</v>
      </c>
      <c r="F893" t="s">
        <v>11778</v>
      </c>
      <c r="G893" t="s">
        <v>74</v>
      </c>
      <c r="H893" t="s">
        <v>74</v>
      </c>
      <c r="I893" t="s">
        <v>11779</v>
      </c>
      <c r="J893" t="s">
        <v>5085</v>
      </c>
      <c r="K893" t="s">
        <v>74</v>
      </c>
      <c r="L893" t="s">
        <v>74</v>
      </c>
      <c r="M893" t="s">
        <v>77</v>
      </c>
      <c r="N893" t="s">
        <v>78</v>
      </c>
      <c r="O893" t="s">
        <v>74</v>
      </c>
      <c r="P893" t="s">
        <v>74</v>
      </c>
      <c r="Q893" t="s">
        <v>74</v>
      </c>
      <c r="R893" t="s">
        <v>74</v>
      </c>
      <c r="S893" t="s">
        <v>74</v>
      </c>
      <c r="T893" t="s">
        <v>11780</v>
      </c>
      <c r="U893" t="s">
        <v>11781</v>
      </c>
      <c r="V893" t="s">
        <v>11782</v>
      </c>
      <c r="W893" t="s">
        <v>11783</v>
      </c>
      <c r="X893" t="s">
        <v>11784</v>
      </c>
      <c r="Y893" t="s">
        <v>11785</v>
      </c>
      <c r="Z893" t="s">
        <v>74</v>
      </c>
      <c r="AA893" t="s">
        <v>1239</v>
      </c>
      <c r="AB893" t="s">
        <v>11786</v>
      </c>
      <c r="AC893" t="s">
        <v>74</v>
      </c>
      <c r="AD893" t="s">
        <v>74</v>
      </c>
      <c r="AE893" t="s">
        <v>74</v>
      </c>
      <c r="AF893" t="s">
        <v>74</v>
      </c>
      <c r="AG893">
        <v>19</v>
      </c>
      <c r="AH893">
        <v>18</v>
      </c>
      <c r="AI893">
        <v>23</v>
      </c>
      <c r="AJ893">
        <v>0</v>
      </c>
      <c r="AK893">
        <v>6</v>
      </c>
      <c r="AL893" t="s">
        <v>108</v>
      </c>
      <c r="AM893" t="s">
        <v>160</v>
      </c>
      <c r="AN893" t="s">
        <v>5086</v>
      </c>
      <c r="AO893" t="s">
        <v>5087</v>
      </c>
      <c r="AP893" t="s">
        <v>74</v>
      </c>
      <c r="AQ893" t="s">
        <v>74</v>
      </c>
      <c r="AR893" t="s">
        <v>5088</v>
      </c>
      <c r="AS893" t="s">
        <v>5089</v>
      </c>
      <c r="AT893" t="s">
        <v>11711</v>
      </c>
      <c r="AU893">
        <v>2000</v>
      </c>
      <c r="AV893">
        <v>12</v>
      </c>
      <c r="AW893">
        <v>2</v>
      </c>
      <c r="AX893" t="s">
        <v>74</v>
      </c>
      <c r="AY893" t="s">
        <v>74</v>
      </c>
      <c r="AZ893" t="s">
        <v>74</v>
      </c>
      <c r="BA893" t="s">
        <v>74</v>
      </c>
      <c r="BB893">
        <v>172</v>
      </c>
      <c r="BC893">
        <v>176</v>
      </c>
      <c r="BD893" t="s">
        <v>74</v>
      </c>
      <c r="BE893" t="s">
        <v>11787</v>
      </c>
      <c r="BF893" t="str">
        <f>HYPERLINK("http://dx.doi.org/10.1017/S0954102000000225","http://dx.doi.org/10.1017/S0954102000000225")</f>
        <v>http://dx.doi.org/10.1017/S0954102000000225</v>
      </c>
      <c r="BG893" t="s">
        <v>74</v>
      </c>
      <c r="BH893" t="s">
        <v>74</v>
      </c>
      <c r="BI893">
        <v>5</v>
      </c>
      <c r="BJ893" t="s">
        <v>5090</v>
      </c>
      <c r="BK893" t="s">
        <v>94</v>
      </c>
      <c r="BL893" t="s">
        <v>5091</v>
      </c>
      <c r="BM893" t="s">
        <v>11722</v>
      </c>
      <c r="BN893" t="s">
        <v>74</v>
      </c>
      <c r="BO893" t="s">
        <v>74</v>
      </c>
      <c r="BP893" t="s">
        <v>74</v>
      </c>
      <c r="BQ893" t="s">
        <v>74</v>
      </c>
      <c r="BR893" t="s">
        <v>97</v>
      </c>
      <c r="BS893" t="s">
        <v>11788</v>
      </c>
      <c r="BT893" t="str">
        <f>HYPERLINK("https%3A%2F%2Fwww.webofscience.com%2Fwos%2Fwoscc%2Ffull-record%2FWOS:000087775400007","View Full Record in Web of Science")</f>
        <v>View Full Record in Web of Science</v>
      </c>
    </row>
    <row r="894" spans="1:72" x14ac:dyDescent="0.15">
      <c r="A894" t="s">
        <v>72</v>
      </c>
      <c r="B894" t="s">
        <v>11789</v>
      </c>
      <c r="C894" t="s">
        <v>74</v>
      </c>
      <c r="D894" t="s">
        <v>74</v>
      </c>
      <c r="E894" t="s">
        <v>74</v>
      </c>
      <c r="F894" t="s">
        <v>11789</v>
      </c>
      <c r="G894" t="s">
        <v>74</v>
      </c>
      <c r="H894" t="s">
        <v>74</v>
      </c>
      <c r="I894" t="s">
        <v>11790</v>
      </c>
      <c r="J894" t="s">
        <v>5085</v>
      </c>
      <c r="K894" t="s">
        <v>74</v>
      </c>
      <c r="L894" t="s">
        <v>74</v>
      </c>
      <c r="M894" t="s">
        <v>77</v>
      </c>
      <c r="N894" t="s">
        <v>78</v>
      </c>
      <c r="O894" t="s">
        <v>74</v>
      </c>
      <c r="P894" t="s">
        <v>74</v>
      </c>
      <c r="Q894" t="s">
        <v>74</v>
      </c>
      <c r="R894" t="s">
        <v>74</v>
      </c>
      <c r="S894" t="s">
        <v>74</v>
      </c>
      <c r="T894" t="s">
        <v>11791</v>
      </c>
      <c r="U894" t="s">
        <v>11792</v>
      </c>
      <c r="V894" t="s">
        <v>11793</v>
      </c>
      <c r="W894" t="s">
        <v>11794</v>
      </c>
      <c r="X894" t="s">
        <v>1224</v>
      </c>
      <c r="Y894" t="s">
        <v>8955</v>
      </c>
      <c r="Z894" t="s">
        <v>74</v>
      </c>
      <c r="AA894" t="s">
        <v>3379</v>
      </c>
      <c r="AB894" t="s">
        <v>3380</v>
      </c>
      <c r="AC894" t="s">
        <v>74</v>
      </c>
      <c r="AD894" t="s">
        <v>74</v>
      </c>
      <c r="AE894" t="s">
        <v>74</v>
      </c>
      <c r="AF894" t="s">
        <v>74</v>
      </c>
      <c r="AG894">
        <v>30</v>
      </c>
      <c r="AH894">
        <v>60</v>
      </c>
      <c r="AI894">
        <v>71</v>
      </c>
      <c r="AJ894">
        <v>0</v>
      </c>
      <c r="AK894">
        <v>11</v>
      </c>
      <c r="AL894" t="s">
        <v>108</v>
      </c>
      <c r="AM894" t="s">
        <v>160</v>
      </c>
      <c r="AN894" t="s">
        <v>5086</v>
      </c>
      <c r="AO894" t="s">
        <v>5087</v>
      </c>
      <c r="AP894" t="s">
        <v>74</v>
      </c>
      <c r="AQ894" t="s">
        <v>74</v>
      </c>
      <c r="AR894" t="s">
        <v>5088</v>
      </c>
      <c r="AS894" t="s">
        <v>5089</v>
      </c>
      <c r="AT894" t="s">
        <v>11711</v>
      </c>
      <c r="AU894">
        <v>2000</v>
      </c>
      <c r="AV894">
        <v>12</v>
      </c>
      <c r="AW894">
        <v>2</v>
      </c>
      <c r="AX894" t="s">
        <v>74</v>
      </c>
      <c r="AY894" t="s">
        <v>74</v>
      </c>
      <c r="AZ894" t="s">
        <v>74</v>
      </c>
      <c r="BA894" t="s">
        <v>74</v>
      </c>
      <c r="BB894">
        <v>177</v>
      </c>
      <c r="BC894">
        <v>184</v>
      </c>
      <c r="BD894" t="s">
        <v>74</v>
      </c>
      <c r="BE894" t="s">
        <v>11795</v>
      </c>
      <c r="BF894" t="str">
        <f>HYPERLINK("http://dx.doi.org/10.1017/S0954102000000237","http://dx.doi.org/10.1017/S0954102000000237")</f>
        <v>http://dx.doi.org/10.1017/S0954102000000237</v>
      </c>
      <c r="BG894" t="s">
        <v>74</v>
      </c>
      <c r="BH894" t="s">
        <v>74</v>
      </c>
      <c r="BI894">
        <v>8</v>
      </c>
      <c r="BJ894" t="s">
        <v>5090</v>
      </c>
      <c r="BK894" t="s">
        <v>94</v>
      </c>
      <c r="BL894" t="s">
        <v>5091</v>
      </c>
      <c r="BM894" t="s">
        <v>11722</v>
      </c>
      <c r="BN894" t="s">
        <v>74</v>
      </c>
      <c r="BO894" t="s">
        <v>74</v>
      </c>
      <c r="BP894" t="s">
        <v>74</v>
      </c>
      <c r="BQ894" t="s">
        <v>74</v>
      </c>
      <c r="BR894" t="s">
        <v>97</v>
      </c>
      <c r="BS894" t="s">
        <v>11796</v>
      </c>
      <c r="BT894" t="str">
        <f>HYPERLINK("https%3A%2F%2Fwww.webofscience.com%2Fwos%2Fwoscc%2Ffull-record%2FWOS:000087775400008","View Full Record in Web of Science")</f>
        <v>View Full Record in Web of Science</v>
      </c>
    </row>
    <row r="895" spans="1:72" x14ac:dyDescent="0.15">
      <c r="A895" t="s">
        <v>72</v>
      </c>
      <c r="B895" t="s">
        <v>11797</v>
      </c>
      <c r="C895" t="s">
        <v>74</v>
      </c>
      <c r="D895" t="s">
        <v>74</v>
      </c>
      <c r="E895" t="s">
        <v>74</v>
      </c>
      <c r="F895" t="s">
        <v>11797</v>
      </c>
      <c r="G895" t="s">
        <v>74</v>
      </c>
      <c r="H895" t="s">
        <v>74</v>
      </c>
      <c r="I895" t="s">
        <v>11798</v>
      </c>
      <c r="J895" t="s">
        <v>5085</v>
      </c>
      <c r="K895" t="s">
        <v>74</v>
      </c>
      <c r="L895" t="s">
        <v>74</v>
      </c>
      <c r="M895" t="s">
        <v>77</v>
      </c>
      <c r="N895" t="s">
        <v>78</v>
      </c>
      <c r="O895" t="s">
        <v>74</v>
      </c>
      <c r="P895" t="s">
        <v>74</v>
      </c>
      <c r="Q895" t="s">
        <v>74</v>
      </c>
      <c r="R895" t="s">
        <v>74</v>
      </c>
      <c r="S895" t="s">
        <v>74</v>
      </c>
      <c r="T895" t="s">
        <v>11799</v>
      </c>
      <c r="U895" t="s">
        <v>11800</v>
      </c>
      <c r="V895" t="s">
        <v>11801</v>
      </c>
      <c r="W895" t="s">
        <v>885</v>
      </c>
      <c r="X895" t="s">
        <v>221</v>
      </c>
      <c r="Y895" t="s">
        <v>11802</v>
      </c>
      <c r="Z895" t="s">
        <v>74</v>
      </c>
      <c r="AA895" t="s">
        <v>10480</v>
      </c>
      <c r="AB895" t="s">
        <v>964</v>
      </c>
      <c r="AC895" t="s">
        <v>74</v>
      </c>
      <c r="AD895" t="s">
        <v>74</v>
      </c>
      <c r="AE895" t="s">
        <v>74</v>
      </c>
      <c r="AF895" t="s">
        <v>74</v>
      </c>
      <c r="AG895">
        <v>88</v>
      </c>
      <c r="AH895">
        <v>19</v>
      </c>
      <c r="AI895">
        <v>21</v>
      </c>
      <c r="AJ895">
        <v>0</v>
      </c>
      <c r="AK895">
        <v>2</v>
      </c>
      <c r="AL895" t="s">
        <v>108</v>
      </c>
      <c r="AM895" t="s">
        <v>160</v>
      </c>
      <c r="AN895" t="s">
        <v>5086</v>
      </c>
      <c r="AO895" t="s">
        <v>5087</v>
      </c>
      <c r="AP895" t="s">
        <v>74</v>
      </c>
      <c r="AQ895" t="s">
        <v>74</v>
      </c>
      <c r="AR895" t="s">
        <v>5088</v>
      </c>
      <c r="AS895" t="s">
        <v>5089</v>
      </c>
      <c r="AT895" t="s">
        <v>11711</v>
      </c>
      <c r="AU895">
        <v>2000</v>
      </c>
      <c r="AV895">
        <v>12</v>
      </c>
      <c r="AW895">
        <v>2</v>
      </c>
      <c r="AX895" t="s">
        <v>74</v>
      </c>
      <c r="AY895" t="s">
        <v>74</v>
      </c>
      <c r="AZ895" t="s">
        <v>74</v>
      </c>
      <c r="BA895" t="s">
        <v>74</v>
      </c>
      <c r="BB895">
        <v>185</v>
      </c>
      <c r="BC895">
        <v>195</v>
      </c>
      <c r="BD895" t="s">
        <v>74</v>
      </c>
      <c r="BE895" t="s">
        <v>11803</v>
      </c>
      <c r="BF895" t="str">
        <f>HYPERLINK("http://dx.doi.org/10.1017/S0954102000000249","http://dx.doi.org/10.1017/S0954102000000249")</f>
        <v>http://dx.doi.org/10.1017/S0954102000000249</v>
      </c>
      <c r="BG895" t="s">
        <v>74</v>
      </c>
      <c r="BH895" t="s">
        <v>74</v>
      </c>
      <c r="BI895">
        <v>11</v>
      </c>
      <c r="BJ895" t="s">
        <v>5090</v>
      </c>
      <c r="BK895" t="s">
        <v>94</v>
      </c>
      <c r="BL895" t="s">
        <v>5091</v>
      </c>
      <c r="BM895" t="s">
        <v>11722</v>
      </c>
      <c r="BN895" t="s">
        <v>74</v>
      </c>
      <c r="BO895" t="s">
        <v>74</v>
      </c>
      <c r="BP895" t="s">
        <v>74</v>
      </c>
      <c r="BQ895" t="s">
        <v>74</v>
      </c>
      <c r="BR895" t="s">
        <v>97</v>
      </c>
      <c r="BS895" t="s">
        <v>11804</v>
      </c>
      <c r="BT895" t="str">
        <f>HYPERLINK("https%3A%2F%2Fwww.webofscience.com%2Fwos%2Fwoscc%2Ffull-record%2FWOS:000087775400009","View Full Record in Web of Science")</f>
        <v>View Full Record in Web of Science</v>
      </c>
    </row>
    <row r="896" spans="1:72" x14ac:dyDescent="0.15">
      <c r="A896" t="s">
        <v>72</v>
      </c>
      <c r="B896" t="s">
        <v>11805</v>
      </c>
      <c r="C896" t="s">
        <v>74</v>
      </c>
      <c r="D896" t="s">
        <v>74</v>
      </c>
      <c r="E896" t="s">
        <v>74</v>
      </c>
      <c r="F896" t="s">
        <v>11805</v>
      </c>
      <c r="G896" t="s">
        <v>74</v>
      </c>
      <c r="H896" t="s">
        <v>74</v>
      </c>
      <c r="I896" t="s">
        <v>11806</v>
      </c>
      <c r="J896" t="s">
        <v>5085</v>
      </c>
      <c r="K896" t="s">
        <v>74</v>
      </c>
      <c r="L896" t="s">
        <v>74</v>
      </c>
      <c r="M896" t="s">
        <v>77</v>
      </c>
      <c r="N896" t="s">
        <v>78</v>
      </c>
      <c r="O896" t="s">
        <v>74</v>
      </c>
      <c r="P896" t="s">
        <v>74</v>
      </c>
      <c r="Q896" t="s">
        <v>74</v>
      </c>
      <c r="R896" t="s">
        <v>74</v>
      </c>
      <c r="S896" t="s">
        <v>74</v>
      </c>
      <c r="T896" t="s">
        <v>11807</v>
      </c>
      <c r="U896" t="s">
        <v>11808</v>
      </c>
      <c r="V896" t="s">
        <v>11809</v>
      </c>
      <c r="W896" t="s">
        <v>11810</v>
      </c>
      <c r="X896" t="s">
        <v>11811</v>
      </c>
      <c r="Y896" t="s">
        <v>11812</v>
      </c>
      <c r="Z896" t="s">
        <v>74</v>
      </c>
      <c r="AA896" t="s">
        <v>74</v>
      </c>
      <c r="AB896" t="s">
        <v>74</v>
      </c>
      <c r="AC896" t="s">
        <v>74</v>
      </c>
      <c r="AD896" t="s">
        <v>74</v>
      </c>
      <c r="AE896" t="s">
        <v>74</v>
      </c>
      <c r="AF896" t="s">
        <v>74</v>
      </c>
      <c r="AG896">
        <v>37</v>
      </c>
      <c r="AH896">
        <v>6</v>
      </c>
      <c r="AI896">
        <v>7</v>
      </c>
      <c r="AJ896">
        <v>0</v>
      </c>
      <c r="AK896">
        <v>3</v>
      </c>
      <c r="AL896" t="s">
        <v>108</v>
      </c>
      <c r="AM896" t="s">
        <v>160</v>
      </c>
      <c r="AN896" t="s">
        <v>5086</v>
      </c>
      <c r="AO896" t="s">
        <v>5087</v>
      </c>
      <c r="AP896" t="s">
        <v>74</v>
      </c>
      <c r="AQ896" t="s">
        <v>74</v>
      </c>
      <c r="AR896" t="s">
        <v>5088</v>
      </c>
      <c r="AS896" t="s">
        <v>5089</v>
      </c>
      <c r="AT896" t="s">
        <v>11711</v>
      </c>
      <c r="AU896">
        <v>2000</v>
      </c>
      <c r="AV896">
        <v>12</v>
      </c>
      <c r="AW896">
        <v>2</v>
      </c>
      <c r="AX896" t="s">
        <v>74</v>
      </c>
      <c r="AY896" t="s">
        <v>74</v>
      </c>
      <c r="AZ896" t="s">
        <v>74</v>
      </c>
      <c r="BA896" t="s">
        <v>74</v>
      </c>
      <c r="BB896">
        <v>196</v>
      </c>
      <c r="BC896">
        <v>204</v>
      </c>
      <c r="BD896" t="s">
        <v>74</v>
      </c>
      <c r="BE896" t="s">
        <v>11813</v>
      </c>
      <c r="BF896" t="str">
        <f>HYPERLINK("http://dx.doi.org/10.1017/S0954102000000250","http://dx.doi.org/10.1017/S0954102000000250")</f>
        <v>http://dx.doi.org/10.1017/S0954102000000250</v>
      </c>
      <c r="BG896" t="s">
        <v>74</v>
      </c>
      <c r="BH896" t="s">
        <v>74</v>
      </c>
      <c r="BI896">
        <v>9</v>
      </c>
      <c r="BJ896" t="s">
        <v>5090</v>
      </c>
      <c r="BK896" t="s">
        <v>94</v>
      </c>
      <c r="BL896" t="s">
        <v>5091</v>
      </c>
      <c r="BM896" t="s">
        <v>11722</v>
      </c>
      <c r="BN896" t="s">
        <v>74</v>
      </c>
      <c r="BO896" t="s">
        <v>74</v>
      </c>
      <c r="BP896" t="s">
        <v>74</v>
      </c>
      <c r="BQ896" t="s">
        <v>74</v>
      </c>
      <c r="BR896" t="s">
        <v>97</v>
      </c>
      <c r="BS896" t="s">
        <v>11814</v>
      </c>
      <c r="BT896" t="str">
        <f>HYPERLINK("https%3A%2F%2Fwww.webofscience.com%2Fwos%2Fwoscc%2Ffull-record%2FWOS:000087775400010","View Full Record in Web of Science")</f>
        <v>View Full Record in Web of Science</v>
      </c>
    </row>
    <row r="897" spans="1:72" x14ac:dyDescent="0.15">
      <c r="A897" t="s">
        <v>72</v>
      </c>
      <c r="B897" t="s">
        <v>11815</v>
      </c>
      <c r="C897" t="s">
        <v>74</v>
      </c>
      <c r="D897" t="s">
        <v>74</v>
      </c>
      <c r="E897" t="s">
        <v>74</v>
      </c>
      <c r="F897" t="s">
        <v>11815</v>
      </c>
      <c r="G897" t="s">
        <v>74</v>
      </c>
      <c r="H897" t="s">
        <v>74</v>
      </c>
      <c r="I897" t="s">
        <v>11816</v>
      </c>
      <c r="J897" t="s">
        <v>5085</v>
      </c>
      <c r="K897" t="s">
        <v>74</v>
      </c>
      <c r="L897" t="s">
        <v>74</v>
      </c>
      <c r="M897" t="s">
        <v>77</v>
      </c>
      <c r="N897" t="s">
        <v>78</v>
      </c>
      <c r="O897" t="s">
        <v>74</v>
      </c>
      <c r="P897" t="s">
        <v>74</v>
      </c>
      <c r="Q897" t="s">
        <v>74</v>
      </c>
      <c r="R897" t="s">
        <v>74</v>
      </c>
      <c r="S897" t="s">
        <v>74</v>
      </c>
      <c r="T897" t="s">
        <v>11817</v>
      </c>
      <c r="U897" t="s">
        <v>11818</v>
      </c>
      <c r="V897" t="s">
        <v>11819</v>
      </c>
      <c r="W897" t="s">
        <v>11820</v>
      </c>
      <c r="X897" t="s">
        <v>11821</v>
      </c>
      <c r="Y897" t="s">
        <v>11822</v>
      </c>
      <c r="Z897" t="s">
        <v>74</v>
      </c>
      <c r="AA897" t="s">
        <v>74</v>
      </c>
      <c r="AB897" t="s">
        <v>74</v>
      </c>
      <c r="AC897" t="s">
        <v>74</v>
      </c>
      <c r="AD897" t="s">
        <v>74</v>
      </c>
      <c r="AE897" t="s">
        <v>74</v>
      </c>
      <c r="AF897" t="s">
        <v>74</v>
      </c>
      <c r="AG897">
        <v>52</v>
      </c>
      <c r="AH897">
        <v>30</v>
      </c>
      <c r="AI897">
        <v>34</v>
      </c>
      <c r="AJ897">
        <v>0</v>
      </c>
      <c r="AK897">
        <v>3</v>
      </c>
      <c r="AL897" t="s">
        <v>108</v>
      </c>
      <c r="AM897" t="s">
        <v>160</v>
      </c>
      <c r="AN897" t="s">
        <v>965</v>
      </c>
      <c r="AO897" t="s">
        <v>5087</v>
      </c>
      <c r="AP897" t="s">
        <v>5108</v>
      </c>
      <c r="AQ897" t="s">
        <v>74</v>
      </c>
      <c r="AR897" t="s">
        <v>5088</v>
      </c>
      <c r="AS897" t="s">
        <v>5089</v>
      </c>
      <c r="AT897" t="s">
        <v>11711</v>
      </c>
      <c r="AU897">
        <v>2000</v>
      </c>
      <c r="AV897">
        <v>12</v>
      </c>
      <c r="AW897">
        <v>2</v>
      </c>
      <c r="AX897" t="s">
        <v>74</v>
      </c>
      <c r="AY897" t="s">
        <v>74</v>
      </c>
      <c r="AZ897" t="s">
        <v>74</v>
      </c>
      <c r="BA897" t="s">
        <v>74</v>
      </c>
      <c r="BB897">
        <v>205</v>
      </c>
      <c r="BC897">
        <v>216</v>
      </c>
      <c r="BD897" t="s">
        <v>74</v>
      </c>
      <c r="BE897" t="s">
        <v>11823</v>
      </c>
      <c r="BF897" t="str">
        <f>HYPERLINK("http://dx.doi.org/10.1017/S0954102000000262","http://dx.doi.org/10.1017/S0954102000000262")</f>
        <v>http://dx.doi.org/10.1017/S0954102000000262</v>
      </c>
      <c r="BG897" t="s">
        <v>74</v>
      </c>
      <c r="BH897" t="s">
        <v>74</v>
      </c>
      <c r="BI897">
        <v>12</v>
      </c>
      <c r="BJ897" t="s">
        <v>5090</v>
      </c>
      <c r="BK897" t="s">
        <v>94</v>
      </c>
      <c r="BL897" t="s">
        <v>5091</v>
      </c>
      <c r="BM897" t="s">
        <v>11722</v>
      </c>
      <c r="BN897" t="s">
        <v>74</v>
      </c>
      <c r="BO897" t="s">
        <v>74</v>
      </c>
      <c r="BP897" t="s">
        <v>74</v>
      </c>
      <c r="BQ897" t="s">
        <v>74</v>
      </c>
      <c r="BR897" t="s">
        <v>97</v>
      </c>
      <c r="BS897" t="s">
        <v>11824</v>
      </c>
      <c r="BT897" t="str">
        <f>HYPERLINK("https%3A%2F%2Fwww.webofscience.com%2Fwos%2Fwoscc%2Ffull-record%2FWOS:000087775400011","View Full Record in Web of Science")</f>
        <v>View Full Record in Web of Science</v>
      </c>
    </row>
    <row r="898" spans="1:72" x14ac:dyDescent="0.15">
      <c r="A898" t="s">
        <v>72</v>
      </c>
      <c r="B898" t="s">
        <v>11825</v>
      </c>
      <c r="C898" t="s">
        <v>74</v>
      </c>
      <c r="D898" t="s">
        <v>74</v>
      </c>
      <c r="E898" t="s">
        <v>74</v>
      </c>
      <c r="F898" t="s">
        <v>11825</v>
      </c>
      <c r="G898" t="s">
        <v>74</v>
      </c>
      <c r="H898" t="s">
        <v>74</v>
      </c>
      <c r="I898" t="s">
        <v>11826</v>
      </c>
      <c r="J898" t="s">
        <v>5085</v>
      </c>
      <c r="K898" t="s">
        <v>74</v>
      </c>
      <c r="L898" t="s">
        <v>74</v>
      </c>
      <c r="M898" t="s">
        <v>77</v>
      </c>
      <c r="N898" t="s">
        <v>78</v>
      </c>
      <c r="O898" t="s">
        <v>74</v>
      </c>
      <c r="P898" t="s">
        <v>74</v>
      </c>
      <c r="Q898" t="s">
        <v>74</v>
      </c>
      <c r="R898" t="s">
        <v>74</v>
      </c>
      <c r="S898" t="s">
        <v>74</v>
      </c>
      <c r="T898" t="s">
        <v>11827</v>
      </c>
      <c r="U898" t="s">
        <v>11828</v>
      </c>
      <c r="V898" t="s">
        <v>11829</v>
      </c>
      <c r="W898" t="s">
        <v>11830</v>
      </c>
      <c r="X898" t="s">
        <v>11831</v>
      </c>
      <c r="Y898" t="s">
        <v>11832</v>
      </c>
      <c r="Z898" t="s">
        <v>74</v>
      </c>
      <c r="AA898" t="s">
        <v>11833</v>
      </c>
      <c r="AB898" t="s">
        <v>74</v>
      </c>
      <c r="AC898" t="s">
        <v>74</v>
      </c>
      <c r="AD898" t="s">
        <v>74</v>
      </c>
      <c r="AE898" t="s">
        <v>74</v>
      </c>
      <c r="AF898" t="s">
        <v>74</v>
      </c>
      <c r="AG898">
        <v>58</v>
      </c>
      <c r="AH898">
        <v>5</v>
      </c>
      <c r="AI898">
        <v>5</v>
      </c>
      <c r="AJ898">
        <v>2</v>
      </c>
      <c r="AK898">
        <v>3</v>
      </c>
      <c r="AL898" t="s">
        <v>108</v>
      </c>
      <c r="AM898" t="s">
        <v>160</v>
      </c>
      <c r="AN898" t="s">
        <v>965</v>
      </c>
      <c r="AO898" t="s">
        <v>5087</v>
      </c>
      <c r="AP898" t="s">
        <v>5108</v>
      </c>
      <c r="AQ898" t="s">
        <v>74</v>
      </c>
      <c r="AR898" t="s">
        <v>5088</v>
      </c>
      <c r="AS898" t="s">
        <v>5089</v>
      </c>
      <c r="AT898" t="s">
        <v>11711</v>
      </c>
      <c r="AU898">
        <v>2000</v>
      </c>
      <c r="AV898">
        <v>12</v>
      </c>
      <c r="AW898">
        <v>2</v>
      </c>
      <c r="AX898" t="s">
        <v>74</v>
      </c>
      <c r="AY898" t="s">
        <v>74</v>
      </c>
      <c r="AZ898" t="s">
        <v>74</v>
      </c>
      <c r="BA898" t="s">
        <v>74</v>
      </c>
      <c r="BB898">
        <v>217</v>
      </c>
      <c r="BC898">
        <v>228</v>
      </c>
      <c r="BD898" t="s">
        <v>74</v>
      </c>
      <c r="BE898" t="s">
        <v>11834</v>
      </c>
      <c r="BF898" t="str">
        <f>HYPERLINK("http://dx.doi.org/10.1017/S0954102000000274","http://dx.doi.org/10.1017/S0954102000000274")</f>
        <v>http://dx.doi.org/10.1017/S0954102000000274</v>
      </c>
      <c r="BG898" t="s">
        <v>74</v>
      </c>
      <c r="BH898" t="s">
        <v>74</v>
      </c>
      <c r="BI898">
        <v>12</v>
      </c>
      <c r="BJ898" t="s">
        <v>5090</v>
      </c>
      <c r="BK898" t="s">
        <v>94</v>
      </c>
      <c r="BL898" t="s">
        <v>5091</v>
      </c>
      <c r="BM898" t="s">
        <v>11722</v>
      </c>
      <c r="BN898" t="s">
        <v>74</v>
      </c>
      <c r="BO898" t="s">
        <v>74</v>
      </c>
      <c r="BP898" t="s">
        <v>74</v>
      </c>
      <c r="BQ898" t="s">
        <v>74</v>
      </c>
      <c r="BR898" t="s">
        <v>97</v>
      </c>
      <c r="BS898" t="s">
        <v>11835</v>
      </c>
      <c r="BT898" t="str">
        <f>HYPERLINK("https%3A%2F%2Fwww.webofscience.com%2Fwos%2Fwoscc%2Ffull-record%2FWOS:000087775400012","View Full Record in Web of Science")</f>
        <v>View Full Record in Web of Science</v>
      </c>
    </row>
    <row r="899" spans="1:72" x14ac:dyDescent="0.15">
      <c r="A899" t="s">
        <v>72</v>
      </c>
      <c r="B899" t="s">
        <v>1878</v>
      </c>
      <c r="C899" t="s">
        <v>74</v>
      </c>
      <c r="D899" t="s">
        <v>74</v>
      </c>
      <c r="E899" t="s">
        <v>74</v>
      </c>
      <c r="F899" t="s">
        <v>1878</v>
      </c>
      <c r="G899" t="s">
        <v>74</v>
      </c>
      <c r="H899" t="s">
        <v>74</v>
      </c>
      <c r="I899" t="s">
        <v>11836</v>
      </c>
      <c r="J899" t="s">
        <v>5085</v>
      </c>
      <c r="K899" t="s">
        <v>74</v>
      </c>
      <c r="L899" t="s">
        <v>74</v>
      </c>
      <c r="M899" t="s">
        <v>77</v>
      </c>
      <c r="N899" t="s">
        <v>78</v>
      </c>
      <c r="O899" t="s">
        <v>74</v>
      </c>
      <c r="P899" t="s">
        <v>74</v>
      </c>
      <c r="Q899" t="s">
        <v>74</v>
      </c>
      <c r="R899" t="s">
        <v>74</v>
      </c>
      <c r="S899" t="s">
        <v>74</v>
      </c>
      <c r="T899" t="s">
        <v>11837</v>
      </c>
      <c r="U899" t="s">
        <v>11838</v>
      </c>
      <c r="V899" t="s">
        <v>11839</v>
      </c>
      <c r="W899" t="s">
        <v>11840</v>
      </c>
      <c r="X899" t="s">
        <v>1883</v>
      </c>
      <c r="Y899" t="s">
        <v>11841</v>
      </c>
      <c r="Z899" t="s">
        <v>74</v>
      </c>
      <c r="AA899" t="s">
        <v>74</v>
      </c>
      <c r="AB899" t="s">
        <v>1885</v>
      </c>
      <c r="AC899" t="s">
        <v>74</v>
      </c>
      <c r="AD899" t="s">
        <v>74</v>
      </c>
      <c r="AE899" t="s">
        <v>74</v>
      </c>
      <c r="AF899" t="s">
        <v>74</v>
      </c>
      <c r="AG899">
        <v>20</v>
      </c>
      <c r="AH899">
        <v>5</v>
      </c>
      <c r="AI899">
        <v>5</v>
      </c>
      <c r="AJ899">
        <v>0</v>
      </c>
      <c r="AK899">
        <v>1</v>
      </c>
      <c r="AL899" t="s">
        <v>108</v>
      </c>
      <c r="AM899" t="s">
        <v>160</v>
      </c>
      <c r="AN899" t="s">
        <v>965</v>
      </c>
      <c r="AO899" t="s">
        <v>5087</v>
      </c>
      <c r="AP899" t="s">
        <v>5108</v>
      </c>
      <c r="AQ899" t="s">
        <v>74</v>
      </c>
      <c r="AR899" t="s">
        <v>5088</v>
      </c>
      <c r="AS899" t="s">
        <v>5089</v>
      </c>
      <c r="AT899" t="s">
        <v>11711</v>
      </c>
      <c r="AU899">
        <v>2000</v>
      </c>
      <c r="AV899">
        <v>12</v>
      </c>
      <c r="AW899">
        <v>2</v>
      </c>
      <c r="AX899" t="s">
        <v>74</v>
      </c>
      <c r="AY899" t="s">
        <v>74</v>
      </c>
      <c r="AZ899" t="s">
        <v>74</v>
      </c>
      <c r="BA899" t="s">
        <v>74</v>
      </c>
      <c r="BB899">
        <v>229</v>
      </c>
      <c r="BC899">
        <v>242</v>
      </c>
      <c r="BD899" t="s">
        <v>74</v>
      </c>
      <c r="BE899" t="s">
        <v>11842</v>
      </c>
      <c r="BF899" t="str">
        <f>HYPERLINK("http://dx.doi.org/10.1017/S0954102000000286","http://dx.doi.org/10.1017/S0954102000000286")</f>
        <v>http://dx.doi.org/10.1017/S0954102000000286</v>
      </c>
      <c r="BG899" t="s">
        <v>74</v>
      </c>
      <c r="BH899" t="s">
        <v>74</v>
      </c>
      <c r="BI899">
        <v>14</v>
      </c>
      <c r="BJ899" t="s">
        <v>5090</v>
      </c>
      <c r="BK899" t="s">
        <v>94</v>
      </c>
      <c r="BL899" t="s">
        <v>5091</v>
      </c>
      <c r="BM899" t="s">
        <v>11722</v>
      </c>
      <c r="BN899" t="s">
        <v>74</v>
      </c>
      <c r="BO899" t="s">
        <v>74</v>
      </c>
      <c r="BP899" t="s">
        <v>74</v>
      </c>
      <c r="BQ899" t="s">
        <v>74</v>
      </c>
      <c r="BR899" t="s">
        <v>97</v>
      </c>
      <c r="BS899" t="s">
        <v>11843</v>
      </c>
      <c r="BT899" t="str">
        <f>HYPERLINK("https%3A%2F%2Fwww.webofscience.com%2Fwos%2Fwoscc%2Ffull-record%2FWOS:000087775400013","View Full Record in Web of Science")</f>
        <v>View Full Record in Web of Science</v>
      </c>
    </row>
    <row r="900" spans="1:72" x14ac:dyDescent="0.15">
      <c r="A900" t="s">
        <v>72</v>
      </c>
      <c r="B900" t="s">
        <v>11844</v>
      </c>
      <c r="C900" t="s">
        <v>74</v>
      </c>
      <c r="D900" t="s">
        <v>74</v>
      </c>
      <c r="E900" t="s">
        <v>74</v>
      </c>
      <c r="F900" t="s">
        <v>11844</v>
      </c>
      <c r="G900" t="s">
        <v>74</v>
      </c>
      <c r="H900" t="s">
        <v>74</v>
      </c>
      <c r="I900" t="s">
        <v>11845</v>
      </c>
      <c r="J900" t="s">
        <v>5085</v>
      </c>
      <c r="K900" t="s">
        <v>74</v>
      </c>
      <c r="L900" t="s">
        <v>74</v>
      </c>
      <c r="M900" t="s">
        <v>77</v>
      </c>
      <c r="N900" t="s">
        <v>78</v>
      </c>
      <c r="O900" t="s">
        <v>74</v>
      </c>
      <c r="P900" t="s">
        <v>74</v>
      </c>
      <c r="Q900" t="s">
        <v>74</v>
      </c>
      <c r="R900" t="s">
        <v>74</v>
      </c>
      <c r="S900" t="s">
        <v>74</v>
      </c>
      <c r="T900" t="s">
        <v>11846</v>
      </c>
      <c r="U900" t="s">
        <v>11847</v>
      </c>
      <c r="V900" t="s">
        <v>11848</v>
      </c>
      <c r="W900" t="s">
        <v>5199</v>
      </c>
      <c r="X900" t="s">
        <v>5200</v>
      </c>
      <c r="Y900" t="s">
        <v>5201</v>
      </c>
      <c r="Z900" t="s">
        <v>74</v>
      </c>
      <c r="AA900" t="s">
        <v>11849</v>
      </c>
      <c r="AB900" t="s">
        <v>11850</v>
      </c>
      <c r="AC900" t="s">
        <v>74</v>
      </c>
      <c r="AD900" t="s">
        <v>74</v>
      </c>
      <c r="AE900" t="s">
        <v>74</v>
      </c>
      <c r="AF900" t="s">
        <v>74</v>
      </c>
      <c r="AG900">
        <v>34</v>
      </c>
      <c r="AH900">
        <v>35</v>
      </c>
      <c r="AI900">
        <v>37</v>
      </c>
      <c r="AJ900">
        <v>0</v>
      </c>
      <c r="AK900">
        <v>12</v>
      </c>
      <c r="AL900" t="s">
        <v>108</v>
      </c>
      <c r="AM900" t="s">
        <v>160</v>
      </c>
      <c r="AN900" t="s">
        <v>5086</v>
      </c>
      <c r="AO900" t="s">
        <v>5087</v>
      </c>
      <c r="AP900" t="s">
        <v>74</v>
      </c>
      <c r="AQ900" t="s">
        <v>74</v>
      </c>
      <c r="AR900" t="s">
        <v>5088</v>
      </c>
      <c r="AS900" t="s">
        <v>5089</v>
      </c>
      <c r="AT900" t="s">
        <v>11711</v>
      </c>
      <c r="AU900">
        <v>2000</v>
      </c>
      <c r="AV900">
        <v>12</v>
      </c>
      <c r="AW900">
        <v>2</v>
      </c>
      <c r="AX900" t="s">
        <v>74</v>
      </c>
      <c r="AY900" t="s">
        <v>74</v>
      </c>
      <c r="AZ900" t="s">
        <v>74</v>
      </c>
      <c r="BA900" t="s">
        <v>74</v>
      </c>
      <c r="BB900">
        <v>243</v>
      </c>
      <c r="BC900">
        <v>254</v>
      </c>
      <c r="BD900" t="s">
        <v>74</v>
      </c>
      <c r="BE900" t="s">
        <v>11851</v>
      </c>
      <c r="BF900" t="str">
        <f>HYPERLINK("http://dx.doi.org/10.1017/S0954102000000298","http://dx.doi.org/10.1017/S0954102000000298")</f>
        <v>http://dx.doi.org/10.1017/S0954102000000298</v>
      </c>
      <c r="BG900" t="s">
        <v>74</v>
      </c>
      <c r="BH900" t="s">
        <v>74</v>
      </c>
      <c r="BI900">
        <v>12</v>
      </c>
      <c r="BJ900" t="s">
        <v>5090</v>
      </c>
      <c r="BK900" t="s">
        <v>94</v>
      </c>
      <c r="BL900" t="s">
        <v>5091</v>
      </c>
      <c r="BM900" t="s">
        <v>11722</v>
      </c>
      <c r="BN900" t="s">
        <v>74</v>
      </c>
      <c r="BO900" t="s">
        <v>74</v>
      </c>
      <c r="BP900" t="s">
        <v>74</v>
      </c>
      <c r="BQ900" t="s">
        <v>74</v>
      </c>
      <c r="BR900" t="s">
        <v>97</v>
      </c>
      <c r="BS900" t="s">
        <v>11852</v>
      </c>
      <c r="BT900" t="str">
        <f>HYPERLINK("https%3A%2F%2Fwww.webofscience.com%2Fwos%2Fwoscc%2Ffull-record%2FWOS:000087775400014","View Full Record in Web of Science")</f>
        <v>View Full Record in Web of Science</v>
      </c>
    </row>
    <row r="901" spans="1:72" x14ac:dyDescent="0.15">
      <c r="A901" t="s">
        <v>72</v>
      </c>
      <c r="B901" t="s">
        <v>11853</v>
      </c>
      <c r="C901" t="s">
        <v>74</v>
      </c>
      <c r="D901" t="s">
        <v>74</v>
      </c>
      <c r="E901" t="s">
        <v>74</v>
      </c>
      <c r="F901" t="s">
        <v>11853</v>
      </c>
      <c r="G901" t="s">
        <v>74</v>
      </c>
      <c r="H901" t="s">
        <v>74</v>
      </c>
      <c r="I901" t="s">
        <v>11854</v>
      </c>
      <c r="J901" t="s">
        <v>9632</v>
      </c>
      <c r="K901" t="s">
        <v>74</v>
      </c>
      <c r="L901" t="s">
        <v>74</v>
      </c>
      <c r="M901" t="s">
        <v>77</v>
      </c>
      <c r="N901" t="s">
        <v>78</v>
      </c>
      <c r="O901" t="s">
        <v>74</v>
      </c>
      <c r="P901" t="s">
        <v>74</v>
      </c>
      <c r="Q901" t="s">
        <v>74</v>
      </c>
      <c r="R901" t="s">
        <v>74</v>
      </c>
      <c r="S901" t="s">
        <v>74</v>
      </c>
      <c r="T901" t="s">
        <v>74</v>
      </c>
      <c r="U901" t="s">
        <v>11855</v>
      </c>
      <c r="V901" t="s">
        <v>11856</v>
      </c>
      <c r="W901" t="s">
        <v>11857</v>
      </c>
      <c r="X901" t="s">
        <v>11858</v>
      </c>
      <c r="Y901" t="s">
        <v>11859</v>
      </c>
      <c r="Z901" t="s">
        <v>11860</v>
      </c>
      <c r="AA901" t="s">
        <v>74</v>
      </c>
      <c r="AB901" t="s">
        <v>11861</v>
      </c>
      <c r="AC901" t="s">
        <v>74</v>
      </c>
      <c r="AD901" t="s">
        <v>74</v>
      </c>
      <c r="AE901" t="s">
        <v>74</v>
      </c>
      <c r="AF901" t="s">
        <v>74</v>
      </c>
      <c r="AG901">
        <v>42</v>
      </c>
      <c r="AH901">
        <v>71</v>
      </c>
      <c r="AI901">
        <v>80</v>
      </c>
      <c r="AJ901">
        <v>3</v>
      </c>
      <c r="AK901">
        <v>25</v>
      </c>
      <c r="AL901" t="s">
        <v>9640</v>
      </c>
      <c r="AM901" t="s">
        <v>1060</v>
      </c>
      <c r="AN901" t="s">
        <v>9641</v>
      </c>
      <c r="AO901" t="s">
        <v>9642</v>
      </c>
      <c r="AP901" t="s">
        <v>11862</v>
      </c>
      <c r="AQ901" t="s">
        <v>74</v>
      </c>
      <c r="AR901" t="s">
        <v>9643</v>
      </c>
      <c r="AS901" t="s">
        <v>9644</v>
      </c>
      <c r="AT901" t="s">
        <v>11711</v>
      </c>
      <c r="AU901">
        <v>2000</v>
      </c>
      <c r="AV901">
        <v>66</v>
      </c>
      <c r="AW901">
        <v>6</v>
      </c>
      <c r="AX901" t="s">
        <v>74</v>
      </c>
      <c r="AY901" t="s">
        <v>74</v>
      </c>
      <c r="AZ901" t="s">
        <v>74</v>
      </c>
      <c r="BA901" t="s">
        <v>74</v>
      </c>
      <c r="BB901">
        <v>2422</v>
      </c>
      <c r="BC901">
        <v>2429</v>
      </c>
      <c r="BD901" t="s">
        <v>74</v>
      </c>
      <c r="BE901" t="s">
        <v>11863</v>
      </c>
      <c r="BF901" t="str">
        <f>HYPERLINK("http://dx.doi.org/10.1128/AEM.66.6.2422-2429.2000","http://dx.doi.org/10.1128/AEM.66.6.2422-2429.2000")</f>
        <v>http://dx.doi.org/10.1128/AEM.66.6.2422-2429.2000</v>
      </c>
      <c r="BG901" t="s">
        <v>74</v>
      </c>
      <c r="BH901" t="s">
        <v>74</v>
      </c>
      <c r="BI901">
        <v>8</v>
      </c>
      <c r="BJ901" t="s">
        <v>3384</v>
      </c>
      <c r="BK901" t="s">
        <v>94</v>
      </c>
      <c r="BL901" t="s">
        <v>3384</v>
      </c>
      <c r="BM901" t="s">
        <v>11864</v>
      </c>
      <c r="BN901">
        <v>10831420</v>
      </c>
      <c r="BO901" t="s">
        <v>1337</v>
      </c>
      <c r="BP901" t="s">
        <v>74</v>
      </c>
      <c r="BQ901" t="s">
        <v>74</v>
      </c>
      <c r="BR901" t="s">
        <v>97</v>
      </c>
      <c r="BS901" t="s">
        <v>11865</v>
      </c>
      <c r="BT901" t="str">
        <f>HYPERLINK("https%3A%2F%2Fwww.webofscience.com%2Fwos%2Fwoscc%2Ffull-record%2FWOS:000087358700021","View Full Record in Web of Science")</f>
        <v>View Full Record in Web of Science</v>
      </c>
    </row>
    <row r="902" spans="1:72" x14ac:dyDescent="0.15">
      <c r="A902" t="s">
        <v>72</v>
      </c>
      <c r="B902" t="s">
        <v>11866</v>
      </c>
      <c r="C902" t="s">
        <v>74</v>
      </c>
      <c r="D902" t="s">
        <v>74</v>
      </c>
      <c r="E902" t="s">
        <v>74</v>
      </c>
      <c r="F902" t="s">
        <v>11866</v>
      </c>
      <c r="G902" t="s">
        <v>74</v>
      </c>
      <c r="H902" t="s">
        <v>74</v>
      </c>
      <c r="I902" t="s">
        <v>11867</v>
      </c>
      <c r="J902" t="s">
        <v>9632</v>
      </c>
      <c r="K902" t="s">
        <v>74</v>
      </c>
      <c r="L902" t="s">
        <v>74</v>
      </c>
      <c r="M902" t="s">
        <v>77</v>
      </c>
      <c r="N902" t="s">
        <v>78</v>
      </c>
      <c r="O902" t="s">
        <v>74</v>
      </c>
      <c r="P902" t="s">
        <v>74</v>
      </c>
      <c r="Q902" t="s">
        <v>74</v>
      </c>
      <c r="R902" t="s">
        <v>74</v>
      </c>
      <c r="S902" t="s">
        <v>74</v>
      </c>
      <c r="T902" t="s">
        <v>74</v>
      </c>
      <c r="U902" t="s">
        <v>11868</v>
      </c>
      <c r="V902" t="s">
        <v>11869</v>
      </c>
      <c r="W902" t="s">
        <v>4724</v>
      </c>
      <c r="X902" t="s">
        <v>4725</v>
      </c>
      <c r="Y902" t="s">
        <v>11870</v>
      </c>
      <c r="Z902" t="s">
        <v>74</v>
      </c>
      <c r="AA902" t="s">
        <v>74</v>
      </c>
      <c r="AB902" t="s">
        <v>74</v>
      </c>
      <c r="AC902" t="s">
        <v>74</v>
      </c>
      <c r="AD902" t="s">
        <v>74</v>
      </c>
      <c r="AE902" t="s">
        <v>74</v>
      </c>
      <c r="AF902" t="s">
        <v>74</v>
      </c>
      <c r="AG902">
        <v>30</v>
      </c>
      <c r="AH902">
        <v>73</v>
      </c>
      <c r="AI902">
        <v>82</v>
      </c>
      <c r="AJ902">
        <v>0</v>
      </c>
      <c r="AK902">
        <v>21</v>
      </c>
      <c r="AL902" t="s">
        <v>9640</v>
      </c>
      <c r="AM902" t="s">
        <v>1060</v>
      </c>
      <c r="AN902" t="s">
        <v>9641</v>
      </c>
      <c r="AO902" t="s">
        <v>9642</v>
      </c>
      <c r="AP902" t="s">
        <v>74</v>
      </c>
      <c r="AQ902" t="s">
        <v>74</v>
      </c>
      <c r="AR902" t="s">
        <v>9643</v>
      </c>
      <c r="AS902" t="s">
        <v>9644</v>
      </c>
      <c r="AT902" t="s">
        <v>11711</v>
      </c>
      <c r="AU902">
        <v>2000</v>
      </c>
      <c r="AV902">
        <v>66</v>
      </c>
      <c r="AW902">
        <v>6</v>
      </c>
      <c r="AX902" t="s">
        <v>74</v>
      </c>
      <c r="AY902" t="s">
        <v>74</v>
      </c>
      <c r="AZ902" t="s">
        <v>74</v>
      </c>
      <c r="BA902" t="s">
        <v>74</v>
      </c>
      <c r="BB902">
        <v>2438</v>
      </c>
      <c r="BC902">
        <v>2444</v>
      </c>
      <c r="BD902" t="s">
        <v>74</v>
      </c>
      <c r="BE902" t="s">
        <v>11871</v>
      </c>
      <c r="BF902" t="str">
        <f>HYPERLINK("http://dx.doi.org/10.1128/AEM.66.6.2438-2444.2000","http://dx.doi.org/10.1128/AEM.66.6.2438-2444.2000")</f>
        <v>http://dx.doi.org/10.1128/AEM.66.6.2438-2444.2000</v>
      </c>
      <c r="BG902" t="s">
        <v>74</v>
      </c>
      <c r="BH902" t="s">
        <v>74</v>
      </c>
      <c r="BI902">
        <v>7</v>
      </c>
      <c r="BJ902" t="s">
        <v>3384</v>
      </c>
      <c r="BK902" t="s">
        <v>94</v>
      </c>
      <c r="BL902" t="s">
        <v>3384</v>
      </c>
      <c r="BM902" t="s">
        <v>11864</v>
      </c>
      <c r="BN902">
        <v>10831422</v>
      </c>
      <c r="BO902" t="s">
        <v>1337</v>
      </c>
      <c r="BP902" t="s">
        <v>74</v>
      </c>
      <c r="BQ902" t="s">
        <v>74</v>
      </c>
      <c r="BR902" t="s">
        <v>97</v>
      </c>
      <c r="BS902" t="s">
        <v>11872</v>
      </c>
      <c r="BT902" t="str">
        <f>HYPERLINK("https%3A%2F%2Fwww.webofscience.com%2Fwos%2Fwoscc%2Ffull-record%2FWOS:000087358700023","View Full Record in Web of Science")</f>
        <v>View Full Record in Web of Science</v>
      </c>
    </row>
    <row r="903" spans="1:72" x14ac:dyDescent="0.15">
      <c r="A903" t="s">
        <v>72</v>
      </c>
      <c r="B903" t="s">
        <v>11873</v>
      </c>
      <c r="C903" t="s">
        <v>74</v>
      </c>
      <c r="D903" t="s">
        <v>74</v>
      </c>
      <c r="E903" t="s">
        <v>74</v>
      </c>
      <c r="F903" t="s">
        <v>11873</v>
      </c>
      <c r="G903" t="s">
        <v>74</v>
      </c>
      <c r="H903" t="s">
        <v>74</v>
      </c>
      <c r="I903" t="s">
        <v>11874</v>
      </c>
      <c r="J903" t="s">
        <v>11875</v>
      </c>
      <c r="K903" t="s">
        <v>74</v>
      </c>
      <c r="L903" t="s">
        <v>74</v>
      </c>
      <c r="M903" t="s">
        <v>77</v>
      </c>
      <c r="N903" t="s">
        <v>78</v>
      </c>
      <c r="O903" t="s">
        <v>74</v>
      </c>
      <c r="P903" t="s">
        <v>74</v>
      </c>
      <c r="Q903" t="s">
        <v>74</v>
      </c>
      <c r="R903" t="s">
        <v>74</v>
      </c>
      <c r="S903" t="s">
        <v>74</v>
      </c>
      <c r="T903" t="s">
        <v>74</v>
      </c>
      <c r="U903" t="s">
        <v>11876</v>
      </c>
      <c r="V903" t="s">
        <v>11877</v>
      </c>
      <c r="W903" t="s">
        <v>11878</v>
      </c>
      <c r="X903" t="s">
        <v>4663</v>
      </c>
      <c r="Y903" t="s">
        <v>11879</v>
      </c>
      <c r="Z903" t="s">
        <v>74</v>
      </c>
      <c r="AA903" t="s">
        <v>74</v>
      </c>
      <c r="AB903" t="s">
        <v>74</v>
      </c>
      <c r="AC903" t="s">
        <v>74</v>
      </c>
      <c r="AD903" t="s">
        <v>74</v>
      </c>
      <c r="AE903" t="s">
        <v>74</v>
      </c>
      <c r="AF903" t="s">
        <v>74</v>
      </c>
      <c r="AG903">
        <v>24</v>
      </c>
      <c r="AH903">
        <v>10</v>
      </c>
      <c r="AI903">
        <v>11</v>
      </c>
      <c r="AJ903">
        <v>0</v>
      </c>
      <c r="AK903">
        <v>1</v>
      </c>
      <c r="AL903" t="s">
        <v>11880</v>
      </c>
      <c r="AM903" t="s">
        <v>10767</v>
      </c>
      <c r="AN903" t="s">
        <v>11881</v>
      </c>
      <c r="AO903" t="s">
        <v>11882</v>
      </c>
      <c r="AP903" t="s">
        <v>74</v>
      </c>
      <c r="AQ903" t="s">
        <v>74</v>
      </c>
      <c r="AR903" t="s">
        <v>11883</v>
      </c>
      <c r="AS903" t="s">
        <v>11884</v>
      </c>
      <c r="AT903" t="s">
        <v>11711</v>
      </c>
      <c r="AU903">
        <v>2000</v>
      </c>
      <c r="AV903">
        <v>38</v>
      </c>
      <c r="AW903">
        <v>2</v>
      </c>
      <c r="AX903" t="s">
        <v>74</v>
      </c>
      <c r="AY903" t="s">
        <v>74</v>
      </c>
      <c r="AZ903" t="s">
        <v>74</v>
      </c>
      <c r="BA903" t="s">
        <v>74</v>
      </c>
      <c r="BB903">
        <v>349</v>
      </c>
      <c r="BC903">
        <v>366</v>
      </c>
      <c r="BD903" t="s">
        <v>74</v>
      </c>
      <c r="BE903" t="s">
        <v>11885</v>
      </c>
      <c r="BF903" t="str">
        <f>HYPERLINK("http://dx.doi.org/10.1080/07055900.2000.9649652","http://dx.doi.org/10.1080/07055900.2000.9649652")</f>
        <v>http://dx.doi.org/10.1080/07055900.2000.9649652</v>
      </c>
      <c r="BG903" t="s">
        <v>74</v>
      </c>
      <c r="BH903" t="s">
        <v>74</v>
      </c>
      <c r="BI903">
        <v>18</v>
      </c>
      <c r="BJ903" t="s">
        <v>1769</v>
      </c>
      <c r="BK903" t="s">
        <v>94</v>
      </c>
      <c r="BL903" t="s">
        <v>1769</v>
      </c>
      <c r="BM903" t="s">
        <v>11886</v>
      </c>
      <c r="BN903" t="s">
        <v>74</v>
      </c>
      <c r="BO903" t="s">
        <v>74</v>
      </c>
      <c r="BP903" t="s">
        <v>74</v>
      </c>
      <c r="BQ903" t="s">
        <v>74</v>
      </c>
      <c r="BR903" t="s">
        <v>97</v>
      </c>
      <c r="BS903" t="s">
        <v>11887</v>
      </c>
      <c r="BT903" t="str">
        <f>HYPERLINK("https%3A%2F%2Fwww.webofscience.com%2Fwos%2Fwoscc%2Ffull-record%2FWOS:000166406600004","View Full Record in Web of Science")</f>
        <v>View Full Record in Web of Science</v>
      </c>
    </row>
    <row r="904" spans="1:72" x14ac:dyDescent="0.15">
      <c r="A904" t="s">
        <v>72</v>
      </c>
      <c r="B904" t="s">
        <v>11888</v>
      </c>
      <c r="C904" t="s">
        <v>74</v>
      </c>
      <c r="D904" t="s">
        <v>74</v>
      </c>
      <c r="E904" t="s">
        <v>74</v>
      </c>
      <c r="F904" t="s">
        <v>11888</v>
      </c>
      <c r="G904" t="s">
        <v>74</v>
      </c>
      <c r="H904" t="s">
        <v>74</v>
      </c>
      <c r="I904" t="s">
        <v>11889</v>
      </c>
      <c r="J904" t="s">
        <v>8663</v>
      </c>
      <c r="K904" t="s">
        <v>74</v>
      </c>
      <c r="L904" t="s">
        <v>74</v>
      </c>
      <c r="M904" t="s">
        <v>77</v>
      </c>
      <c r="N904" t="s">
        <v>78</v>
      </c>
      <c r="O904" t="s">
        <v>74</v>
      </c>
      <c r="P904" t="s">
        <v>74</v>
      </c>
      <c r="Q904" t="s">
        <v>74</v>
      </c>
      <c r="R904" t="s">
        <v>74</v>
      </c>
      <c r="S904" t="s">
        <v>74</v>
      </c>
      <c r="T904" t="s">
        <v>11890</v>
      </c>
      <c r="U904" t="s">
        <v>11891</v>
      </c>
      <c r="V904" t="s">
        <v>11892</v>
      </c>
      <c r="W904" t="s">
        <v>11893</v>
      </c>
      <c r="X904" t="s">
        <v>11894</v>
      </c>
      <c r="Y904" t="s">
        <v>11895</v>
      </c>
      <c r="Z904" t="s">
        <v>74</v>
      </c>
      <c r="AA904" t="s">
        <v>74</v>
      </c>
      <c r="AB904" t="s">
        <v>74</v>
      </c>
      <c r="AC904" t="s">
        <v>74</v>
      </c>
      <c r="AD904" t="s">
        <v>74</v>
      </c>
      <c r="AE904" t="s">
        <v>74</v>
      </c>
      <c r="AF904" t="s">
        <v>74</v>
      </c>
      <c r="AG904">
        <v>26</v>
      </c>
      <c r="AH904">
        <v>56</v>
      </c>
      <c r="AI904">
        <v>62</v>
      </c>
      <c r="AJ904">
        <v>1</v>
      </c>
      <c r="AK904">
        <v>23</v>
      </c>
      <c r="AL904" t="s">
        <v>8672</v>
      </c>
      <c r="AM904" t="s">
        <v>5321</v>
      </c>
      <c r="AN904" t="s">
        <v>8673</v>
      </c>
      <c r="AO904" t="s">
        <v>8674</v>
      </c>
      <c r="AP904" t="s">
        <v>74</v>
      </c>
      <c r="AQ904" t="s">
        <v>74</v>
      </c>
      <c r="AR904" t="s">
        <v>8676</v>
      </c>
      <c r="AS904" t="s">
        <v>8677</v>
      </c>
      <c r="AT904" t="s">
        <v>11711</v>
      </c>
      <c r="AU904">
        <v>2000</v>
      </c>
      <c r="AV904">
        <v>71</v>
      </c>
      <c r="AW904">
        <v>6</v>
      </c>
      <c r="AX904" t="s">
        <v>74</v>
      </c>
      <c r="AY904" t="s">
        <v>74</v>
      </c>
      <c r="AZ904" t="s">
        <v>74</v>
      </c>
      <c r="BA904" t="s">
        <v>74</v>
      </c>
      <c r="BB904">
        <v>619</v>
      </c>
      <c r="BC904">
        <v>625</v>
      </c>
      <c r="BD904" t="s">
        <v>74</v>
      </c>
      <c r="BE904" t="s">
        <v>74</v>
      </c>
      <c r="BF904" t="s">
        <v>74</v>
      </c>
      <c r="BG904" t="s">
        <v>74</v>
      </c>
      <c r="BH904" t="s">
        <v>74</v>
      </c>
      <c r="BI904">
        <v>7</v>
      </c>
      <c r="BJ904" t="s">
        <v>8680</v>
      </c>
      <c r="BK904" t="s">
        <v>11896</v>
      </c>
      <c r="BL904" t="s">
        <v>8681</v>
      </c>
      <c r="BM904" t="s">
        <v>11897</v>
      </c>
      <c r="BN904">
        <v>10870821</v>
      </c>
      <c r="BO904" t="s">
        <v>74</v>
      </c>
      <c r="BP904" t="s">
        <v>74</v>
      </c>
      <c r="BQ904" t="s">
        <v>74</v>
      </c>
      <c r="BR904" t="s">
        <v>97</v>
      </c>
      <c r="BS904" t="s">
        <v>11898</v>
      </c>
      <c r="BT904" t="str">
        <f>HYPERLINK("https%3A%2F%2Fwww.webofscience.com%2Fwos%2Fwoscc%2Ffull-record%2FWOS:000087469700009","View Full Record in Web of Science")</f>
        <v>View Full Record in Web of Science</v>
      </c>
    </row>
    <row r="905" spans="1:72" x14ac:dyDescent="0.15">
      <c r="A905" t="s">
        <v>72</v>
      </c>
      <c r="B905" t="s">
        <v>11899</v>
      </c>
      <c r="C905" t="s">
        <v>74</v>
      </c>
      <c r="D905" t="s">
        <v>74</v>
      </c>
      <c r="E905" t="s">
        <v>74</v>
      </c>
      <c r="F905" t="s">
        <v>11899</v>
      </c>
      <c r="G905" t="s">
        <v>74</v>
      </c>
      <c r="H905" t="s">
        <v>74</v>
      </c>
      <c r="I905" t="s">
        <v>11900</v>
      </c>
      <c r="J905" t="s">
        <v>11901</v>
      </c>
      <c r="K905" t="s">
        <v>74</v>
      </c>
      <c r="L905" t="s">
        <v>74</v>
      </c>
      <c r="M905" t="s">
        <v>77</v>
      </c>
      <c r="N905" t="s">
        <v>78</v>
      </c>
      <c r="O905" t="s">
        <v>74</v>
      </c>
      <c r="P905" t="s">
        <v>74</v>
      </c>
      <c r="Q905" t="s">
        <v>74</v>
      </c>
      <c r="R905" t="s">
        <v>74</v>
      </c>
      <c r="S905" t="s">
        <v>74</v>
      </c>
      <c r="T905" t="s">
        <v>74</v>
      </c>
      <c r="U905" t="s">
        <v>11902</v>
      </c>
      <c r="V905" t="s">
        <v>11903</v>
      </c>
      <c r="W905" t="s">
        <v>11904</v>
      </c>
      <c r="X905" t="s">
        <v>11905</v>
      </c>
      <c r="Y905" t="s">
        <v>11906</v>
      </c>
      <c r="Z905" t="s">
        <v>74</v>
      </c>
      <c r="AA905" t="s">
        <v>74</v>
      </c>
      <c r="AB905" t="s">
        <v>74</v>
      </c>
      <c r="AC905" t="s">
        <v>11907</v>
      </c>
      <c r="AD905" t="s">
        <v>11908</v>
      </c>
      <c r="AE905" t="s">
        <v>74</v>
      </c>
      <c r="AF905" t="s">
        <v>74</v>
      </c>
      <c r="AG905">
        <v>52</v>
      </c>
      <c r="AH905">
        <v>43</v>
      </c>
      <c r="AI905">
        <v>51</v>
      </c>
      <c r="AJ905">
        <v>0</v>
      </c>
      <c r="AK905">
        <v>16</v>
      </c>
      <c r="AL905" t="s">
        <v>11909</v>
      </c>
      <c r="AM905" t="s">
        <v>3501</v>
      </c>
      <c r="AN905" t="s">
        <v>11910</v>
      </c>
      <c r="AO905" t="s">
        <v>11911</v>
      </c>
      <c r="AP905" t="s">
        <v>74</v>
      </c>
      <c r="AQ905" t="s">
        <v>74</v>
      </c>
      <c r="AR905" t="s">
        <v>11912</v>
      </c>
      <c r="AS905" t="s">
        <v>11913</v>
      </c>
      <c r="AT905" t="s">
        <v>11711</v>
      </c>
      <c r="AU905">
        <v>2000</v>
      </c>
      <c r="AV905">
        <v>78</v>
      </c>
      <c r="AW905">
        <v>6</v>
      </c>
      <c r="AX905" t="s">
        <v>74</v>
      </c>
      <c r="AY905" t="s">
        <v>74</v>
      </c>
      <c r="AZ905" t="s">
        <v>74</v>
      </c>
      <c r="BA905" t="s">
        <v>74</v>
      </c>
      <c r="BB905">
        <v>3195</v>
      </c>
      <c r="BC905">
        <v>3207</v>
      </c>
      <c r="BD905" t="s">
        <v>74</v>
      </c>
      <c r="BE905" t="s">
        <v>11914</v>
      </c>
      <c r="BF905" t="str">
        <f>HYPERLINK("http://dx.doi.org/10.1016/S0006-3495(00)76856-1","http://dx.doi.org/10.1016/S0006-3495(00)76856-1")</f>
        <v>http://dx.doi.org/10.1016/S0006-3495(00)76856-1</v>
      </c>
      <c r="BG905" t="s">
        <v>74</v>
      </c>
      <c r="BH905" t="s">
        <v>74</v>
      </c>
      <c r="BI905">
        <v>13</v>
      </c>
      <c r="BJ905" t="s">
        <v>8719</v>
      </c>
      <c r="BK905" t="s">
        <v>94</v>
      </c>
      <c r="BL905" t="s">
        <v>8719</v>
      </c>
      <c r="BM905" t="s">
        <v>11915</v>
      </c>
      <c r="BN905">
        <v>10827996</v>
      </c>
      <c r="BO905" t="s">
        <v>2043</v>
      </c>
      <c r="BP905" t="s">
        <v>74</v>
      </c>
      <c r="BQ905" t="s">
        <v>74</v>
      </c>
      <c r="BR905" t="s">
        <v>97</v>
      </c>
      <c r="BS905" t="s">
        <v>11916</v>
      </c>
      <c r="BT905" t="str">
        <f>HYPERLINK("https%3A%2F%2Fwww.webofscience.com%2Fwos%2Fwoscc%2Ffull-record%2FWOS:000087580400039","View Full Record in Web of Science")</f>
        <v>View Full Record in Web of Science</v>
      </c>
    </row>
    <row r="906" spans="1:72" x14ac:dyDescent="0.15">
      <c r="A906" t="s">
        <v>72</v>
      </c>
      <c r="B906" t="s">
        <v>11917</v>
      </c>
      <c r="C906" t="s">
        <v>74</v>
      </c>
      <c r="D906" t="s">
        <v>74</v>
      </c>
      <c r="E906" t="s">
        <v>74</v>
      </c>
      <c r="F906" t="s">
        <v>11917</v>
      </c>
      <c r="G906" t="s">
        <v>74</v>
      </c>
      <c r="H906" t="s">
        <v>74</v>
      </c>
      <c r="I906" t="s">
        <v>11918</v>
      </c>
      <c r="J906" t="s">
        <v>11919</v>
      </c>
      <c r="K906" t="s">
        <v>74</v>
      </c>
      <c r="L906" t="s">
        <v>74</v>
      </c>
      <c r="M906" t="s">
        <v>77</v>
      </c>
      <c r="N906" t="s">
        <v>78</v>
      </c>
      <c r="O906" t="s">
        <v>74</v>
      </c>
      <c r="P906" t="s">
        <v>74</v>
      </c>
      <c r="Q906" t="s">
        <v>74</v>
      </c>
      <c r="R906" t="s">
        <v>74</v>
      </c>
      <c r="S906" t="s">
        <v>74</v>
      </c>
      <c r="T906" t="s">
        <v>11920</v>
      </c>
      <c r="U906" t="s">
        <v>11921</v>
      </c>
      <c r="V906" t="s">
        <v>11922</v>
      </c>
      <c r="W906" t="s">
        <v>11923</v>
      </c>
      <c r="X906" t="s">
        <v>74</v>
      </c>
      <c r="Y906" t="s">
        <v>11924</v>
      </c>
      <c r="Z906" t="s">
        <v>11925</v>
      </c>
      <c r="AA906" t="s">
        <v>74</v>
      </c>
      <c r="AB906" t="s">
        <v>74</v>
      </c>
      <c r="AC906" t="s">
        <v>74</v>
      </c>
      <c r="AD906" t="s">
        <v>74</v>
      </c>
      <c r="AE906" t="s">
        <v>74</v>
      </c>
      <c r="AF906" t="s">
        <v>74</v>
      </c>
      <c r="AG906">
        <v>24</v>
      </c>
      <c r="AH906">
        <v>99</v>
      </c>
      <c r="AI906">
        <v>131</v>
      </c>
      <c r="AJ906">
        <v>0</v>
      </c>
      <c r="AK906">
        <v>26</v>
      </c>
      <c r="AL906" t="s">
        <v>813</v>
      </c>
      <c r="AM906" t="s">
        <v>814</v>
      </c>
      <c r="AN906" t="s">
        <v>815</v>
      </c>
      <c r="AO906" t="s">
        <v>11926</v>
      </c>
      <c r="AP906" t="s">
        <v>11927</v>
      </c>
      <c r="AQ906" t="s">
        <v>74</v>
      </c>
      <c r="AR906" t="s">
        <v>11919</v>
      </c>
      <c r="AS906" t="s">
        <v>11928</v>
      </c>
      <c r="AT906" t="s">
        <v>11711</v>
      </c>
      <c r="AU906">
        <v>2000</v>
      </c>
      <c r="AV906">
        <v>32</v>
      </c>
      <c r="AW906">
        <v>2</v>
      </c>
      <c r="AX906" t="s">
        <v>74</v>
      </c>
      <c r="AY906" t="s">
        <v>74</v>
      </c>
      <c r="AZ906" t="s">
        <v>74</v>
      </c>
      <c r="BA906" t="s">
        <v>74</v>
      </c>
      <c r="BB906">
        <v>276</v>
      </c>
      <c r="BC906">
        <v>281</v>
      </c>
      <c r="BD906" t="s">
        <v>74</v>
      </c>
      <c r="BE906" t="s">
        <v>11929</v>
      </c>
      <c r="BF906" t="str">
        <f>HYPERLINK("http://dx.doi.org/10.1111/j.1744-7429.2000.tb00470.x","http://dx.doi.org/10.1111/j.1744-7429.2000.tb00470.x")</f>
        <v>http://dx.doi.org/10.1111/j.1744-7429.2000.tb00470.x</v>
      </c>
      <c r="BG906" t="s">
        <v>74</v>
      </c>
      <c r="BH906" t="s">
        <v>74</v>
      </c>
      <c r="BI906">
        <v>6</v>
      </c>
      <c r="BJ906" t="s">
        <v>5913</v>
      </c>
      <c r="BK906" t="s">
        <v>94</v>
      </c>
      <c r="BL906" t="s">
        <v>114</v>
      </c>
      <c r="BM906" t="s">
        <v>11930</v>
      </c>
      <c r="BN906" t="s">
        <v>74</v>
      </c>
      <c r="BO906" t="s">
        <v>74</v>
      </c>
      <c r="BP906" t="s">
        <v>74</v>
      </c>
      <c r="BQ906" t="s">
        <v>74</v>
      </c>
      <c r="BR906" t="s">
        <v>97</v>
      </c>
      <c r="BS906" t="s">
        <v>11931</v>
      </c>
      <c r="BT906" t="str">
        <f>HYPERLINK("https%3A%2F%2Fwww.webofscience.com%2Fwos%2Fwoscc%2Ffull-record%2FWOS:000087812600009","View Full Record in Web of Science")</f>
        <v>View Full Record in Web of Science</v>
      </c>
    </row>
    <row r="907" spans="1:72" x14ac:dyDescent="0.15">
      <c r="A907" t="s">
        <v>72</v>
      </c>
      <c r="B907" t="s">
        <v>11932</v>
      </c>
      <c r="C907" t="s">
        <v>74</v>
      </c>
      <c r="D907" t="s">
        <v>74</v>
      </c>
      <c r="E907" t="s">
        <v>74</v>
      </c>
      <c r="F907" t="s">
        <v>11932</v>
      </c>
      <c r="G907" t="s">
        <v>74</v>
      </c>
      <c r="H907" t="s">
        <v>74</v>
      </c>
      <c r="I907" t="s">
        <v>11933</v>
      </c>
      <c r="J907" t="s">
        <v>11934</v>
      </c>
      <c r="K907" t="s">
        <v>74</v>
      </c>
      <c r="L907" t="s">
        <v>74</v>
      </c>
      <c r="M907" t="s">
        <v>77</v>
      </c>
      <c r="N907" t="s">
        <v>78</v>
      </c>
      <c r="O907" t="s">
        <v>74</v>
      </c>
      <c r="P907" t="s">
        <v>74</v>
      </c>
      <c r="Q907" t="s">
        <v>74</v>
      </c>
      <c r="R907" t="s">
        <v>74</v>
      </c>
      <c r="S907" t="s">
        <v>74</v>
      </c>
      <c r="T907" t="s">
        <v>74</v>
      </c>
      <c r="U907" t="s">
        <v>11935</v>
      </c>
      <c r="V907" t="s">
        <v>11936</v>
      </c>
      <c r="W907" t="s">
        <v>11937</v>
      </c>
      <c r="X907" t="s">
        <v>11938</v>
      </c>
      <c r="Y907" t="s">
        <v>11939</v>
      </c>
      <c r="Z907" t="s">
        <v>74</v>
      </c>
      <c r="AA907" t="s">
        <v>74</v>
      </c>
      <c r="AB907" t="s">
        <v>74</v>
      </c>
      <c r="AC907" t="s">
        <v>74</v>
      </c>
      <c r="AD907" t="s">
        <v>74</v>
      </c>
      <c r="AE907" t="s">
        <v>74</v>
      </c>
      <c r="AF907" t="s">
        <v>74</v>
      </c>
      <c r="AG907">
        <v>52</v>
      </c>
      <c r="AH907">
        <v>26</v>
      </c>
      <c r="AI907">
        <v>28</v>
      </c>
      <c r="AJ907">
        <v>0</v>
      </c>
      <c r="AK907">
        <v>3</v>
      </c>
      <c r="AL907" t="s">
        <v>11940</v>
      </c>
      <c r="AM907" t="s">
        <v>11941</v>
      </c>
      <c r="AN907" t="s">
        <v>11942</v>
      </c>
      <c r="AO907" t="s">
        <v>11943</v>
      </c>
      <c r="AP907" t="s">
        <v>74</v>
      </c>
      <c r="AQ907" t="s">
        <v>74</v>
      </c>
      <c r="AR907" t="s">
        <v>11934</v>
      </c>
      <c r="AS907" t="s">
        <v>11944</v>
      </c>
      <c r="AT907" t="s">
        <v>11711</v>
      </c>
      <c r="AU907">
        <v>2000</v>
      </c>
      <c r="AV907">
        <v>29</v>
      </c>
      <c r="AW907">
        <v>2</v>
      </c>
      <c r="AX907" t="s">
        <v>74</v>
      </c>
      <c r="AY907" t="s">
        <v>74</v>
      </c>
      <c r="AZ907" t="s">
        <v>74</v>
      </c>
      <c r="BA907" t="s">
        <v>74</v>
      </c>
      <c r="BB907">
        <v>144</v>
      </c>
      <c r="BC907">
        <v>156</v>
      </c>
      <c r="BD907" t="s">
        <v>74</v>
      </c>
      <c r="BE907" t="s">
        <v>11945</v>
      </c>
      <c r="BF907" t="str">
        <f>HYPERLINK("http://dx.doi.org/10.1080/030094800750044321","http://dx.doi.org/10.1080/030094800750044321")</f>
        <v>http://dx.doi.org/10.1080/030094800750044321</v>
      </c>
      <c r="BG907" t="s">
        <v>74</v>
      </c>
      <c r="BH907" t="s">
        <v>74</v>
      </c>
      <c r="BI907">
        <v>13</v>
      </c>
      <c r="BJ907" t="s">
        <v>1214</v>
      </c>
      <c r="BK907" t="s">
        <v>94</v>
      </c>
      <c r="BL907" t="s">
        <v>1215</v>
      </c>
      <c r="BM907" t="s">
        <v>11946</v>
      </c>
      <c r="BN907" t="s">
        <v>74</v>
      </c>
      <c r="BO907" t="s">
        <v>74</v>
      </c>
      <c r="BP907" t="s">
        <v>74</v>
      </c>
      <c r="BQ907" t="s">
        <v>74</v>
      </c>
      <c r="BR907" t="s">
        <v>97</v>
      </c>
      <c r="BS907" t="s">
        <v>11947</v>
      </c>
      <c r="BT907" t="str">
        <f>HYPERLINK("https%3A%2F%2Fwww.webofscience.com%2Fwos%2Fwoscc%2Ffull-record%2FWOS:000087951600005","View Full Record in Web of Science")</f>
        <v>View Full Record in Web of Science</v>
      </c>
    </row>
    <row r="908" spans="1:72" x14ac:dyDescent="0.15">
      <c r="A908" t="s">
        <v>72</v>
      </c>
      <c r="B908" t="s">
        <v>11948</v>
      </c>
      <c r="C908" t="s">
        <v>74</v>
      </c>
      <c r="D908" t="s">
        <v>74</v>
      </c>
      <c r="E908" t="s">
        <v>74</v>
      </c>
      <c r="F908" t="s">
        <v>11948</v>
      </c>
      <c r="G908" t="s">
        <v>74</v>
      </c>
      <c r="H908" t="s">
        <v>74</v>
      </c>
      <c r="I908" t="s">
        <v>11949</v>
      </c>
      <c r="J908" t="s">
        <v>11950</v>
      </c>
      <c r="K908" t="s">
        <v>74</v>
      </c>
      <c r="L908" t="s">
        <v>74</v>
      </c>
      <c r="M908" t="s">
        <v>77</v>
      </c>
      <c r="N908" t="s">
        <v>78</v>
      </c>
      <c r="O908" t="s">
        <v>74</v>
      </c>
      <c r="P908" t="s">
        <v>74</v>
      </c>
      <c r="Q908" t="s">
        <v>74</v>
      </c>
      <c r="R908" t="s">
        <v>74</v>
      </c>
      <c r="S908" t="s">
        <v>74</v>
      </c>
      <c r="T908" t="s">
        <v>74</v>
      </c>
      <c r="U908" t="s">
        <v>11951</v>
      </c>
      <c r="V908" t="s">
        <v>11952</v>
      </c>
      <c r="W908" t="s">
        <v>11953</v>
      </c>
      <c r="X908" t="s">
        <v>11954</v>
      </c>
      <c r="Y908" t="s">
        <v>11955</v>
      </c>
      <c r="Z908" t="s">
        <v>74</v>
      </c>
      <c r="AA908" t="s">
        <v>11956</v>
      </c>
      <c r="AB908" t="s">
        <v>11957</v>
      </c>
      <c r="AC908" t="s">
        <v>74</v>
      </c>
      <c r="AD908" t="s">
        <v>74</v>
      </c>
      <c r="AE908" t="s">
        <v>74</v>
      </c>
      <c r="AF908" t="s">
        <v>74</v>
      </c>
      <c r="AG908">
        <v>45</v>
      </c>
      <c r="AH908">
        <v>380</v>
      </c>
      <c r="AI908">
        <v>437</v>
      </c>
      <c r="AJ908">
        <v>1</v>
      </c>
      <c r="AK908">
        <v>47</v>
      </c>
      <c r="AL908" t="s">
        <v>1842</v>
      </c>
      <c r="AM908" t="s">
        <v>1843</v>
      </c>
      <c r="AN908" t="s">
        <v>1844</v>
      </c>
      <c r="AO908" t="s">
        <v>11958</v>
      </c>
      <c r="AP908" t="s">
        <v>74</v>
      </c>
      <c r="AQ908" t="s">
        <v>74</v>
      </c>
      <c r="AR908" t="s">
        <v>11959</v>
      </c>
      <c r="AS908" t="s">
        <v>11960</v>
      </c>
      <c r="AT908" t="s">
        <v>11711</v>
      </c>
      <c r="AU908">
        <v>2000</v>
      </c>
      <c r="AV908">
        <v>81</v>
      </c>
      <c r="AW908">
        <v>6</v>
      </c>
      <c r="AX908" t="s">
        <v>74</v>
      </c>
      <c r="AY908" t="s">
        <v>74</v>
      </c>
      <c r="AZ908" t="s">
        <v>74</v>
      </c>
      <c r="BA908" t="s">
        <v>74</v>
      </c>
      <c r="BB908" t="s">
        <v>11961</v>
      </c>
      <c r="BC908" t="s">
        <v>11962</v>
      </c>
      <c r="BD908" t="s">
        <v>74</v>
      </c>
      <c r="BE908" t="s">
        <v>11963</v>
      </c>
      <c r="BF908" t="str">
        <f>HYPERLINK("http://dx.doi.org/10.1175/1520-0477(2000)81[s1:CAF]2.0.CO;2","http://dx.doi.org/10.1175/1520-0477(2000)81[s1:CAF]2.0.CO;2")</f>
        <v>http://dx.doi.org/10.1175/1520-0477(2000)81[s1:CAF]2.0.CO;2</v>
      </c>
      <c r="BG908" t="s">
        <v>74</v>
      </c>
      <c r="BH908" t="s">
        <v>74</v>
      </c>
      <c r="BI908">
        <v>50</v>
      </c>
      <c r="BJ908" t="s">
        <v>167</v>
      </c>
      <c r="BK908" t="s">
        <v>94</v>
      </c>
      <c r="BL908" t="s">
        <v>167</v>
      </c>
      <c r="BM908" t="s">
        <v>11964</v>
      </c>
      <c r="BN908" t="s">
        <v>74</v>
      </c>
      <c r="BO908" t="s">
        <v>1850</v>
      </c>
      <c r="BP908" t="s">
        <v>74</v>
      </c>
      <c r="BQ908" t="s">
        <v>74</v>
      </c>
      <c r="BR908" t="s">
        <v>97</v>
      </c>
      <c r="BS908" t="s">
        <v>11965</v>
      </c>
      <c r="BT908" t="str">
        <f>HYPERLINK("https%3A%2F%2Fwww.webofscience.com%2Fwos%2Fwoscc%2Ffull-record%2FWOS:000087330300021","View Full Record in Web of Science")</f>
        <v>View Full Record in Web of Science</v>
      </c>
    </row>
    <row r="909" spans="1:72" x14ac:dyDescent="0.15">
      <c r="A909" t="s">
        <v>72</v>
      </c>
      <c r="B909" t="s">
        <v>11966</v>
      </c>
      <c r="C909" t="s">
        <v>74</v>
      </c>
      <c r="D909" t="s">
        <v>74</v>
      </c>
      <c r="E909" t="s">
        <v>74</v>
      </c>
      <c r="F909" t="s">
        <v>11966</v>
      </c>
      <c r="G909" t="s">
        <v>74</v>
      </c>
      <c r="H909" t="s">
        <v>74</v>
      </c>
      <c r="I909" t="s">
        <v>11967</v>
      </c>
      <c r="J909" t="s">
        <v>11968</v>
      </c>
      <c r="K909" t="s">
        <v>74</v>
      </c>
      <c r="L909" t="s">
        <v>74</v>
      </c>
      <c r="M909" t="s">
        <v>77</v>
      </c>
      <c r="N909" t="s">
        <v>576</v>
      </c>
      <c r="O909" t="s">
        <v>11969</v>
      </c>
      <c r="P909" t="s">
        <v>11970</v>
      </c>
      <c r="Q909" t="s">
        <v>11971</v>
      </c>
      <c r="R909" t="s">
        <v>74</v>
      </c>
      <c r="S909" t="s">
        <v>74</v>
      </c>
      <c r="T909" t="s">
        <v>11972</v>
      </c>
      <c r="U909" t="s">
        <v>11973</v>
      </c>
      <c r="V909" t="s">
        <v>11974</v>
      </c>
      <c r="W909" t="s">
        <v>11975</v>
      </c>
      <c r="X909" t="s">
        <v>4663</v>
      </c>
      <c r="Y909" t="s">
        <v>11976</v>
      </c>
      <c r="Z909" t="s">
        <v>74</v>
      </c>
      <c r="AA909" t="s">
        <v>74</v>
      </c>
      <c r="AB909" t="s">
        <v>11977</v>
      </c>
      <c r="AC909" t="s">
        <v>74</v>
      </c>
      <c r="AD909" t="s">
        <v>74</v>
      </c>
      <c r="AE909" t="s">
        <v>74</v>
      </c>
      <c r="AF909" t="s">
        <v>74</v>
      </c>
      <c r="AG909">
        <v>38</v>
      </c>
      <c r="AH909">
        <v>8</v>
      </c>
      <c r="AI909">
        <v>9</v>
      </c>
      <c r="AJ909">
        <v>2</v>
      </c>
      <c r="AK909">
        <v>34</v>
      </c>
      <c r="AL909" t="s">
        <v>4286</v>
      </c>
      <c r="AM909" t="s">
        <v>160</v>
      </c>
      <c r="AN909" t="s">
        <v>4287</v>
      </c>
      <c r="AO909" t="s">
        <v>11978</v>
      </c>
      <c r="AP909" t="s">
        <v>74</v>
      </c>
      <c r="AQ909" t="s">
        <v>74</v>
      </c>
      <c r="AR909" t="s">
        <v>11979</v>
      </c>
      <c r="AS909" t="s">
        <v>11980</v>
      </c>
      <c r="AT909" t="s">
        <v>11711</v>
      </c>
      <c r="AU909">
        <v>2000</v>
      </c>
      <c r="AV909">
        <v>126</v>
      </c>
      <c r="AW909">
        <v>2</v>
      </c>
      <c r="AX909" t="s">
        <v>74</v>
      </c>
      <c r="AY909" t="s">
        <v>74</v>
      </c>
      <c r="AZ909" t="s">
        <v>74</v>
      </c>
      <c r="BA909" t="s">
        <v>74</v>
      </c>
      <c r="BB909">
        <v>153</v>
      </c>
      <c r="BC909">
        <v>159</v>
      </c>
      <c r="BD909" t="s">
        <v>74</v>
      </c>
      <c r="BE909" t="s">
        <v>11981</v>
      </c>
      <c r="BF909" t="str">
        <f>HYPERLINK("http://dx.doi.org/10.1016/S1095-6433(00)00209-9","http://dx.doi.org/10.1016/S1095-6433(00)00209-9")</f>
        <v>http://dx.doi.org/10.1016/S1095-6433(00)00209-9</v>
      </c>
      <c r="BG909" t="s">
        <v>74</v>
      </c>
      <c r="BH909" t="s">
        <v>74</v>
      </c>
      <c r="BI909">
        <v>7</v>
      </c>
      <c r="BJ909" t="s">
        <v>11982</v>
      </c>
      <c r="BK909" t="s">
        <v>596</v>
      </c>
      <c r="BL909" t="s">
        <v>11982</v>
      </c>
      <c r="BM909" t="s">
        <v>11983</v>
      </c>
      <c r="BN909">
        <v>10936757</v>
      </c>
      <c r="BO909" t="s">
        <v>74</v>
      </c>
      <c r="BP909" t="s">
        <v>74</v>
      </c>
      <c r="BQ909" t="s">
        <v>74</v>
      </c>
      <c r="BR909" t="s">
        <v>97</v>
      </c>
      <c r="BS909" t="s">
        <v>11984</v>
      </c>
      <c r="BT909" t="str">
        <f>HYPERLINK("https%3A%2F%2Fwww.webofscience.com%2Fwos%2Fwoscc%2Ffull-record%2FWOS:000088353900004","View Full Record in Web of Science")</f>
        <v>View Full Record in Web of Science</v>
      </c>
    </row>
    <row r="910" spans="1:72" x14ac:dyDescent="0.15">
      <c r="A910" t="s">
        <v>72</v>
      </c>
      <c r="B910" t="s">
        <v>11985</v>
      </c>
      <c r="C910" t="s">
        <v>74</v>
      </c>
      <c r="D910" t="s">
        <v>74</v>
      </c>
      <c r="E910" t="s">
        <v>74</v>
      </c>
      <c r="F910" t="s">
        <v>11985</v>
      </c>
      <c r="G910" t="s">
        <v>74</v>
      </c>
      <c r="H910" t="s">
        <v>74</v>
      </c>
      <c r="I910" t="s">
        <v>11986</v>
      </c>
      <c r="J910" t="s">
        <v>235</v>
      </c>
      <c r="K910" t="s">
        <v>74</v>
      </c>
      <c r="L910" t="s">
        <v>74</v>
      </c>
      <c r="M910" t="s">
        <v>77</v>
      </c>
      <c r="N910" t="s">
        <v>78</v>
      </c>
      <c r="O910" t="s">
        <v>74</v>
      </c>
      <c r="P910" t="s">
        <v>74</v>
      </c>
      <c r="Q910" t="s">
        <v>74</v>
      </c>
      <c r="R910" t="s">
        <v>74</v>
      </c>
      <c r="S910" t="s">
        <v>74</v>
      </c>
      <c r="T910" t="s">
        <v>11987</v>
      </c>
      <c r="U910" t="s">
        <v>11988</v>
      </c>
      <c r="V910" t="s">
        <v>11989</v>
      </c>
      <c r="W910" t="s">
        <v>11990</v>
      </c>
      <c r="X910" t="s">
        <v>11991</v>
      </c>
      <c r="Y910" t="s">
        <v>11992</v>
      </c>
      <c r="Z910" t="s">
        <v>74</v>
      </c>
      <c r="AA910" t="s">
        <v>11993</v>
      </c>
      <c r="AB910" t="s">
        <v>11994</v>
      </c>
      <c r="AC910" t="s">
        <v>74</v>
      </c>
      <c r="AD910" t="s">
        <v>74</v>
      </c>
      <c r="AE910" t="s">
        <v>74</v>
      </c>
      <c r="AF910" t="s">
        <v>74</v>
      </c>
      <c r="AG910">
        <v>49</v>
      </c>
      <c r="AH910">
        <v>100</v>
      </c>
      <c r="AI910">
        <v>110</v>
      </c>
      <c r="AJ910">
        <v>5</v>
      </c>
      <c r="AK910">
        <v>15</v>
      </c>
      <c r="AL910" t="s">
        <v>245</v>
      </c>
      <c r="AM910" t="s">
        <v>246</v>
      </c>
      <c r="AN910" t="s">
        <v>247</v>
      </c>
      <c r="AO910" t="s">
        <v>248</v>
      </c>
      <c r="AP910" t="s">
        <v>74</v>
      </c>
      <c r="AQ910" t="s">
        <v>74</v>
      </c>
      <c r="AR910" t="s">
        <v>249</v>
      </c>
      <c r="AS910" t="s">
        <v>250</v>
      </c>
      <c r="AT910" t="s">
        <v>11711</v>
      </c>
      <c r="AU910">
        <v>2000</v>
      </c>
      <c r="AV910">
        <v>47</v>
      </c>
      <c r="AW910">
        <v>6</v>
      </c>
      <c r="AX910" t="s">
        <v>74</v>
      </c>
      <c r="AY910" t="s">
        <v>74</v>
      </c>
      <c r="AZ910" t="s">
        <v>74</v>
      </c>
      <c r="BA910" t="s">
        <v>74</v>
      </c>
      <c r="BB910">
        <v>1015</v>
      </c>
      <c r="BC910">
        <v>1033</v>
      </c>
      <c r="BD910" t="s">
        <v>74</v>
      </c>
      <c r="BE910" t="s">
        <v>11995</v>
      </c>
      <c r="BF910" t="str">
        <f>HYPERLINK("http://dx.doi.org/10.1016/S0967-0637(99)00075-8","http://dx.doi.org/10.1016/S0967-0637(99)00075-8")</f>
        <v>http://dx.doi.org/10.1016/S0967-0637(99)00075-8</v>
      </c>
      <c r="BG910" t="s">
        <v>74</v>
      </c>
      <c r="BH910" t="s">
        <v>74</v>
      </c>
      <c r="BI910">
        <v>19</v>
      </c>
      <c r="BJ910" t="s">
        <v>252</v>
      </c>
      <c r="BK910" t="s">
        <v>94</v>
      </c>
      <c r="BL910" t="s">
        <v>252</v>
      </c>
      <c r="BM910" t="s">
        <v>11996</v>
      </c>
      <c r="BN910" t="s">
        <v>74</v>
      </c>
      <c r="BO910" t="s">
        <v>11997</v>
      </c>
      <c r="BP910" t="s">
        <v>74</v>
      </c>
      <c r="BQ910" t="s">
        <v>74</v>
      </c>
      <c r="BR910" t="s">
        <v>97</v>
      </c>
      <c r="BS910" t="s">
        <v>11998</v>
      </c>
      <c r="BT910" t="str">
        <f>HYPERLINK("https%3A%2F%2Fwww.webofscience.com%2Fwos%2Fwoscc%2Ffull-record%2FWOS:000086084700003","View Full Record in Web of Science")</f>
        <v>View Full Record in Web of Science</v>
      </c>
    </row>
    <row r="911" spans="1:72" x14ac:dyDescent="0.15">
      <c r="A911" t="s">
        <v>72</v>
      </c>
      <c r="B911" t="s">
        <v>11999</v>
      </c>
      <c r="C911" t="s">
        <v>74</v>
      </c>
      <c r="D911" t="s">
        <v>74</v>
      </c>
      <c r="E911" t="s">
        <v>74</v>
      </c>
      <c r="F911" t="s">
        <v>11999</v>
      </c>
      <c r="G911" t="s">
        <v>74</v>
      </c>
      <c r="H911" t="s">
        <v>74</v>
      </c>
      <c r="I911" t="s">
        <v>12000</v>
      </c>
      <c r="J911" t="s">
        <v>235</v>
      </c>
      <c r="K911" t="s">
        <v>74</v>
      </c>
      <c r="L911" t="s">
        <v>74</v>
      </c>
      <c r="M911" t="s">
        <v>77</v>
      </c>
      <c r="N911" t="s">
        <v>78</v>
      </c>
      <c r="O911" t="s">
        <v>74</v>
      </c>
      <c r="P911" t="s">
        <v>74</v>
      </c>
      <c r="Q911" t="s">
        <v>74</v>
      </c>
      <c r="R911" t="s">
        <v>74</v>
      </c>
      <c r="S911" t="s">
        <v>74</v>
      </c>
      <c r="T911" t="s">
        <v>12001</v>
      </c>
      <c r="U911" t="s">
        <v>12002</v>
      </c>
      <c r="V911" t="s">
        <v>12003</v>
      </c>
      <c r="W911" t="s">
        <v>12004</v>
      </c>
      <c r="X911" t="s">
        <v>12005</v>
      </c>
      <c r="Y911" t="s">
        <v>12006</v>
      </c>
      <c r="Z911" t="s">
        <v>74</v>
      </c>
      <c r="AA911" t="s">
        <v>12007</v>
      </c>
      <c r="AB911" t="s">
        <v>74</v>
      </c>
      <c r="AC911" t="s">
        <v>74</v>
      </c>
      <c r="AD911" t="s">
        <v>74</v>
      </c>
      <c r="AE911" t="s">
        <v>74</v>
      </c>
      <c r="AF911" t="s">
        <v>74</v>
      </c>
      <c r="AG911">
        <v>41</v>
      </c>
      <c r="AH911">
        <v>82</v>
      </c>
      <c r="AI911">
        <v>89</v>
      </c>
      <c r="AJ911">
        <v>1</v>
      </c>
      <c r="AK911">
        <v>23</v>
      </c>
      <c r="AL911" t="s">
        <v>245</v>
      </c>
      <c r="AM911" t="s">
        <v>246</v>
      </c>
      <c r="AN911" t="s">
        <v>247</v>
      </c>
      <c r="AO911" t="s">
        <v>248</v>
      </c>
      <c r="AP911" t="s">
        <v>74</v>
      </c>
      <c r="AQ911" t="s">
        <v>74</v>
      </c>
      <c r="AR911" t="s">
        <v>249</v>
      </c>
      <c r="AS911" t="s">
        <v>250</v>
      </c>
      <c r="AT911" t="s">
        <v>11711</v>
      </c>
      <c r="AU911">
        <v>2000</v>
      </c>
      <c r="AV911">
        <v>47</v>
      </c>
      <c r="AW911">
        <v>6</v>
      </c>
      <c r="AX911" t="s">
        <v>74</v>
      </c>
      <c r="AY911" t="s">
        <v>74</v>
      </c>
      <c r="AZ911" t="s">
        <v>74</v>
      </c>
      <c r="BA911" t="s">
        <v>74</v>
      </c>
      <c r="BB911">
        <v>1077</v>
      </c>
      <c r="BC911">
        <v>1099</v>
      </c>
      <c r="BD911" t="s">
        <v>74</v>
      </c>
      <c r="BE911" t="s">
        <v>12008</v>
      </c>
      <c r="BF911" t="str">
        <f>HYPERLINK("http://dx.doi.org/10.1016/S0967-0637(99)00095-3","http://dx.doi.org/10.1016/S0967-0637(99)00095-3")</f>
        <v>http://dx.doi.org/10.1016/S0967-0637(99)00095-3</v>
      </c>
      <c r="BG911" t="s">
        <v>74</v>
      </c>
      <c r="BH911" t="s">
        <v>74</v>
      </c>
      <c r="BI911">
        <v>23</v>
      </c>
      <c r="BJ911" t="s">
        <v>252</v>
      </c>
      <c r="BK911" t="s">
        <v>94</v>
      </c>
      <c r="BL911" t="s">
        <v>252</v>
      </c>
      <c r="BM911" t="s">
        <v>11996</v>
      </c>
      <c r="BN911" t="s">
        <v>74</v>
      </c>
      <c r="BO911" t="s">
        <v>74</v>
      </c>
      <c r="BP911" t="s">
        <v>74</v>
      </c>
      <c r="BQ911" t="s">
        <v>74</v>
      </c>
      <c r="BR911" t="s">
        <v>97</v>
      </c>
      <c r="BS911" t="s">
        <v>12009</v>
      </c>
      <c r="BT911" t="str">
        <f>HYPERLINK("https%3A%2F%2Fwww.webofscience.com%2Fwos%2Fwoscc%2Ffull-record%2FWOS:000086084700006","View Full Record in Web of Science")</f>
        <v>View Full Record in Web of Science</v>
      </c>
    </row>
    <row r="912" spans="1:72" x14ac:dyDescent="0.15">
      <c r="A912" t="s">
        <v>72</v>
      </c>
      <c r="B912" t="s">
        <v>12010</v>
      </c>
      <c r="C912" t="s">
        <v>74</v>
      </c>
      <c r="D912" t="s">
        <v>74</v>
      </c>
      <c r="E912" t="s">
        <v>74</v>
      </c>
      <c r="F912" t="s">
        <v>12010</v>
      </c>
      <c r="G912" t="s">
        <v>74</v>
      </c>
      <c r="H912" t="s">
        <v>74</v>
      </c>
      <c r="I912" t="s">
        <v>12011</v>
      </c>
      <c r="J912" t="s">
        <v>10788</v>
      </c>
      <c r="K912" t="s">
        <v>74</v>
      </c>
      <c r="L912" t="s">
        <v>74</v>
      </c>
      <c r="M912" t="s">
        <v>77</v>
      </c>
      <c r="N912" t="s">
        <v>78</v>
      </c>
      <c r="O912" t="s">
        <v>74</v>
      </c>
      <c r="P912" t="s">
        <v>74</v>
      </c>
      <c r="Q912" t="s">
        <v>74</v>
      </c>
      <c r="R912" t="s">
        <v>74</v>
      </c>
      <c r="S912" t="s">
        <v>74</v>
      </c>
      <c r="T912" t="s">
        <v>74</v>
      </c>
      <c r="U912" t="s">
        <v>74</v>
      </c>
      <c r="V912" t="s">
        <v>74</v>
      </c>
      <c r="W912" t="s">
        <v>6759</v>
      </c>
      <c r="X912" t="s">
        <v>2468</v>
      </c>
      <c r="Y912" t="s">
        <v>12012</v>
      </c>
      <c r="Z912" t="s">
        <v>74</v>
      </c>
      <c r="AA912" t="s">
        <v>12013</v>
      </c>
      <c r="AB912" t="s">
        <v>74</v>
      </c>
      <c r="AC912" t="s">
        <v>74</v>
      </c>
      <c r="AD912" t="s">
        <v>74</v>
      </c>
      <c r="AE912" t="s">
        <v>74</v>
      </c>
      <c r="AF912" t="s">
        <v>74</v>
      </c>
      <c r="AG912">
        <v>7</v>
      </c>
      <c r="AH912">
        <v>5</v>
      </c>
      <c r="AI912">
        <v>5</v>
      </c>
      <c r="AJ912">
        <v>0</v>
      </c>
      <c r="AK912">
        <v>0</v>
      </c>
      <c r="AL912" t="s">
        <v>1025</v>
      </c>
      <c r="AM912" t="s">
        <v>1026</v>
      </c>
      <c r="AN912" t="s">
        <v>1027</v>
      </c>
      <c r="AO912" t="s">
        <v>10791</v>
      </c>
      <c r="AP912" t="s">
        <v>74</v>
      </c>
      <c r="AQ912" t="s">
        <v>74</v>
      </c>
      <c r="AR912" t="s">
        <v>10792</v>
      </c>
      <c r="AS912" t="s">
        <v>10793</v>
      </c>
      <c r="AT912" t="s">
        <v>12014</v>
      </c>
      <c r="AU912">
        <v>2000</v>
      </c>
      <c r="AV912">
        <v>373</v>
      </c>
      <c r="AW912">
        <v>5</v>
      </c>
      <c r="AX912" t="s">
        <v>74</v>
      </c>
      <c r="AY912" t="s">
        <v>74</v>
      </c>
      <c r="AZ912" t="s">
        <v>74</v>
      </c>
      <c r="BA912" t="s">
        <v>74</v>
      </c>
      <c r="BB912">
        <v>885</v>
      </c>
      <c r="BC912">
        <v>887</v>
      </c>
      <c r="BD912" t="s">
        <v>74</v>
      </c>
      <c r="BE912" t="s">
        <v>74</v>
      </c>
      <c r="BF912" t="s">
        <v>74</v>
      </c>
      <c r="BG912" t="s">
        <v>74</v>
      </c>
      <c r="BH912" t="s">
        <v>74</v>
      </c>
      <c r="BI912">
        <v>3</v>
      </c>
      <c r="BJ912" t="s">
        <v>595</v>
      </c>
      <c r="BK912" t="s">
        <v>94</v>
      </c>
      <c r="BL912" t="s">
        <v>597</v>
      </c>
      <c r="BM912" t="s">
        <v>12015</v>
      </c>
      <c r="BN912" t="s">
        <v>74</v>
      </c>
      <c r="BO912" t="s">
        <v>74</v>
      </c>
      <c r="BP912" t="s">
        <v>74</v>
      </c>
      <c r="BQ912" t="s">
        <v>74</v>
      </c>
      <c r="BR912" t="s">
        <v>97</v>
      </c>
      <c r="BS912" t="s">
        <v>12016</v>
      </c>
      <c r="BT912" t="str">
        <f>HYPERLINK("https%3A%2F%2Fwww.webofscience.com%2Fwos%2Fwoscc%2Ffull-record%2FWOS:000089521500029","View Full Record in Web of Science")</f>
        <v>View Full Record in Web of Science</v>
      </c>
    </row>
    <row r="913" spans="1:72" x14ac:dyDescent="0.15">
      <c r="A913" t="s">
        <v>72</v>
      </c>
      <c r="B913" t="s">
        <v>12017</v>
      </c>
      <c r="C913" t="s">
        <v>74</v>
      </c>
      <c r="D913" t="s">
        <v>74</v>
      </c>
      <c r="E913" t="s">
        <v>74</v>
      </c>
      <c r="F913" t="s">
        <v>12017</v>
      </c>
      <c r="G913" t="s">
        <v>74</v>
      </c>
      <c r="H913" t="s">
        <v>74</v>
      </c>
      <c r="I913" t="s">
        <v>12018</v>
      </c>
      <c r="J913" t="s">
        <v>10788</v>
      </c>
      <c r="K913" t="s">
        <v>74</v>
      </c>
      <c r="L913" t="s">
        <v>74</v>
      </c>
      <c r="M913" t="s">
        <v>77</v>
      </c>
      <c r="N913" t="s">
        <v>78</v>
      </c>
      <c r="O913" t="s">
        <v>74</v>
      </c>
      <c r="P913" t="s">
        <v>74</v>
      </c>
      <c r="Q913" t="s">
        <v>74</v>
      </c>
      <c r="R913" t="s">
        <v>74</v>
      </c>
      <c r="S913" t="s">
        <v>74</v>
      </c>
      <c r="T913" t="s">
        <v>74</v>
      </c>
      <c r="U913" t="s">
        <v>74</v>
      </c>
      <c r="V913" t="s">
        <v>74</v>
      </c>
      <c r="W913" t="s">
        <v>6759</v>
      </c>
      <c r="X913" t="s">
        <v>2468</v>
      </c>
      <c r="Y913" t="s">
        <v>12019</v>
      </c>
      <c r="Z913" t="s">
        <v>74</v>
      </c>
      <c r="AA913" t="s">
        <v>74</v>
      </c>
      <c r="AB913" t="s">
        <v>74</v>
      </c>
      <c r="AC913" t="s">
        <v>74</v>
      </c>
      <c r="AD913" t="s">
        <v>74</v>
      </c>
      <c r="AE913" t="s">
        <v>74</v>
      </c>
      <c r="AF913" t="s">
        <v>74</v>
      </c>
      <c r="AG913">
        <v>8</v>
      </c>
      <c r="AH913">
        <v>0</v>
      </c>
      <c r="AI913">
        <v>0</v>
      </c>
      <c r="AJ913">
        <v>0</v>
      </c>
      <c r="AK913">
        <v>0</v>
      </c>
      <c r="AL913" t="s">
        <v>1025</v>
      </c>
      <c r="AM913" t="s">
        <v>1026</v>
      </c>
      <c r="AN913" t="s">
        <v>1027</v>
      </c>
      <c r="AO913" t="s">
        <v>10791</v>
      </c>
      <c r="AP913" t="s">
        <v>74</v>
      </c>
      <c r="AQ913" t="s">
        <v>74</v>
      </c>
      <c r="AR913" t="s">
        <v>10792</v>
      </c>
      <c r="AS913" t="s">
        <v>10793</v>
      </c>
      <c r="AT913" t="s">
        <v>12014</v>
      </c>
      <c r="AU913">
        <v>2000</v>
      </c>
      <c r="AV913">
        <v>373</v>
      </c>
      <c r="AW913">
        <v>5</v>
      </c>
      <c r="AX913" t="s">
        <v>74</v>
      </c>
      <c r="AY913" t="s">
        <v>74</v>
      </c>
      <c r="AZ913" t="s">
        <v>74</v>
      </c>
      <c r="BA913" t="s">
        <v>74</v>
      </c>
      <c r="BB913">
        <v>896</v>
      </c>
      <c r="BC913">
        <v>898</v>
      </c>
      <c r="BD913" t="s">
        <v>74</v>
      </c>
      <c r="BE913" t="s">
        <v>74</v>
      </c>
      <c r="BF913" t="s">
        <v>74</v>
      </c>
      <c r="BG913" t="s">
        <v>74</v>
      </c>
      <c r="BH913" t="s">
        <v>74</v>
      </c>
      <c r="BI913">
        <v>3</v>
      </c>
      <c r="BJ913" t="s">
        <v>595</v>
      </c>
      <c r="BK913" t="s">
        <v>94</v>
      </c>
      <c r="BL913" t="s">
        <v>597</v>
      </c>
      <c r="BM913" t="s">
        <v>12015</v>
      </c>
      <c r="BN913" t="s">
        <v>74</v>
      </c>
      <c r="BO913" t="s">
        <v>74</v>
      </c>
      <c r="BP913" t="s">
        <v>74</v>
      </c>
      <c r="BQ913" t="s">
        <v>74</v>
      </c>
      <c r="BR913" t="s">
        <v>97</v>
      </c>
      <c r="BS913" t="s">
        <v>12020</v>
      </c>
      <c r="BT913" t="str">
        <f>HYPERLINK("https%3A%2F%2Fwww.webofscience.com%2Fwos%2Fwoscc%2Ffull-record%2FWOS:000089521500032","View Full Record in Web of Science")</f>
        <v>View Full Record in Web of Science</v>
      </c>
    </row>
    <row r="914" spans="1:72" x14ac:dyDescent="0.15">
      <c r="A914" t="s">
        <v>72</v>
      </c>
      <c r="B914" t="s">
        <v>12021</v>
      </c>
      <c r="C914" t="s">
        <v>74</v>
      </c>
      <c r="D914" t="s">
        <v>74</v>
      </c>
      <c r="E914" t="s">
        <v>74</v>
      </c>
      <c r="F914" t="s">
        <v>12021</v>
      </c>
      <c r="G914" t="s">
        <v>74</v>
      </c>
      <c r="H914" t="s">
        <v>74</v>
      </c>
      <c r="I914" t="s">
        <v>12022</v>
      </c>
      <c r="J914" t="s">
        <v>12023</v>
      </c>
      <c r="K914" t="s">
        <v>74</v>
      </c>
      <c r="L914" t="s">
        <v>74</v>
      </c>
      <c r="M914" t="s">
        <v>77</v>
      </c>
      <c r="N914" t="s">
        <v>78</v>
      </c>
      <c r="O914" t="s">
        <v>74</v>
      </c>
      <c r="P914" t="s">
        <v>74</v>
      </c>
      <c r="Q914" t="s">
        <v>74</v>
      </c>
      <c r="R914" t="s">
        <v>74</v>
      </c>
      <c r="S914" t="s">
        <v>74</v>
      </c>
      <c r="T914" t="s">
        <v>12024</v>
      </c>
      <c r="U914" t="s">
        <v>12025</v>
      </c>
      <c r="V914" t="s">
        <v>12026</v>
      </c>
      <c r="W914" t="s">
        <v>12027</v>
      </c>
      <c r="X914" t="s">
        <v>12028</v>
      </c>
      <c r="Y914" t="s">
        <v>12029</v>
      </c>
      <c r="Z914" t="s">
        <v>74</v>
      </c>
      <c r="AA914" t="s">
        <v>12030</v>
      </c>
      <c r="AB914" t="s">
        <v>12031</v>
      </c>
      <c r="AC914" t="s">
        <v>74</v>
      </c>
      <c r="AD914" t="s">
        <v>74</v>
      </c>
      <c r="AE914" t="s">
        <v>74</v>
      </c>
      <c r="AF914" t="s">
        <v>74</v>
      </c>
      <c r="AG914">
        <v>30</v>
      </c>
      <c r="AH914">
        <v>59</v>
      </c>
      <c r="AI914">
        <v>60</v>
      </c>
      <c r="AJ914">
        <v>0</v>
      </c>
      <c r="AK914">
        <v>6</v>
      </c>
      <c r="AL914" t="s">
        <v>3292</v>
      </c>
      <c r="AM914" t="s">
        <v>3832</v>
      </c>
      <c r="AN914" t="s">
        <v>3833</v>
      </c>
      <c r="AO914" t="s">
        <v>12032</v>
      </c>
      <c r="AP914" t="s">
        <v>74</v>
      </c>
      <c r="AQ914" t="s">
        <v>74</v>
      </c>
      <c r="AR914" t="s">
        <v>12033</v>
      </c>
      <c r="AS914" t="s">
        <v>12034</v>
      </c>
      <c r="AT914" t="s">
        <v>11711</v>
      </c>
      <c r="AU914">
        <v>2000</v>
      </c>
      <c r="AV914">
        <v>25</v>
      </c>
      <c r="AW914">
        <v>6</v>
      </c>
      <c r="AX914" t="s">
        <v>74</v>
      </c>
      <c r="AY914" t="s">
        <v>74</v>
      </c>
      <c r="AZ914" t="s">
        <v>74</v>
      </c>
      <c r="BA914" t="s">
        <v>74</v>
      </c>
      <c r="BB914">
        <v>633</v>
      </c>
      <c r="BC914">
        <v>647</v>
      </c>
      <c r="BD914" t="s">
        <v>74</v>
      </c>
      <c r="BE914" t="s">
        <v>12035</v>
      </c>
      <c r="BF914" t="str">
        <f>HYPERLINK("http://dx.doi.org/10.1002/1096-9837(200006)25:6&lt;633::AID-ESP102&gt;3.0.CO;2-J","http://dx.doi.org/10.1002/1096-9837(200006)25:6&lt;633::AID-ESP102&gt;3.0.CO;2-J")</f>
        <v>http://dx.doi.org/10.1002/1096-9837(200006)25:6&lt;633::AID-ESP102&gt;3.0.CO;2-J</v>
      </c>
      <c r="BG914" t="s">
        <v>74</v>
      </c>
      <c r="BH914" t="s">
        <v>74</v>
      </c>
      <c r="BI914">
        <v>15</v>
      </c>
      <c r="BJ914" t="s">
        <v>1214</v>
      </c>
      <c r="BK914" t="s">
        <v>94</v>
      </c>
      <c r="BL914" t="s">
        <v>1215</v>
      </c>
      <c r="BM914" t="s">
        <v>12036</v>
      </c>
      <c r="BN914" t="s">
        <v>74</v>
      </c>
      <c r="BO914" t="s">
        <v>74</v>
      </c>
      <c r="BP914" t="s">
        <v>74</v>
      </c>
      <c r="BQ914" t="s">
        <v>74</v>
      </c>
      <c r="BR914" t="s">
        <v>97</v>
      </c>
      <c r="BS914" t="s">
        <v>12037</v>
      </c>
      <c r="BT914" t="str">
        <f>HYPERLINK("https%3A%2F%2Fwww.webofscience.com%2Fwos%2Fwoscc%2Ffull-record%2FWOS:000087893500005","View Full Record in Web of Science")</f>
        <v>View Full Record in Web of Science</v>
      </c>
    </row>
    <row r="915" spans="1:72" x14ac:dyDescent="0.15">
      <c r="A915" t="s">
        <v>72</v>
      </c>
      <c r="B915" t="s">
        <v>12038</v>
      </c>
      <c r="C915" t="s">
        <v>74</v>
      </c>
      <c r="D915" t="s">
        <v>74</v>
      </c>
      <c r="E915" t="s">
        <v>74</v>
      </c>
      <c r="F915" t="s">
        <v>12038</v>
      </c>
      <c r="G915" t="s">
        <v>74</v>
      </c>
      <c r="H915" t="s">
        <v>74</v>
      </c>
      <c r="I915" t="s">
        <v>12039</v>
      </c>
      <c r="J915" t="s">
        <v>12040</v>
      </c>
      <c r="K915" t="s">
        <v>74</v>
      </c>
      <c r="L915" t="s">
        <v>74</v>
      </c>
      <c r="M915" t="s">
        <v>77</v>
      </c>
      <c r="N915" t="s">
        <v>236</v>
      </c>
      <c r="O915" t="s">
        <v>74</v>
      </c>
      <c r="P915" t="s">
        <v>74</v>
      </c>
      <c r="Q915" t="s">
        <v>74</v>
      </c>
      <c r="R915" t="s">
        <v>74</v>
      </c>
      <c r="S915" t="s">
        <v>74</v>
      </c>
      <c r="T915" t="s">
        <v>74</v>
      </c>
      <c r="U915" t="s">
        <v>12041</v>
      </c>
      <c r="V915" t="s">
        <v>12042</v>
      </c>
      <c r="W915" t="s">
        <v>12043</v>
      </c>
      <c r="X915" t="s">
        <v>12044</v>
      </c>
      <c r="Y915" t="s">
        <v>12045</v>
      </c>
      <c r="Z915" t="s">
        <v>12046</v>
      </c>
      <c r="AA915" t="s">
        <v>74</v>
      </c>
      <c r="AB915" t="s">
        <v>12047</v>
      </c>
      <c r="AC915" t="s">
        <v>74</v>
      </c>
      <c r="AD915" t="s">
        <v>74</v>
      </c>
      <c r="AE915" t="s">
        <v>74</v>
      </c>
      <c r="AF915" t="s">
        <v>74</v>
      </c>
      <c r="AG915">
        <v>125</v>
      </c>
      <c r="AH915">
        <v>56</v>
      </c>
      <c r="AI915">
        <v>77</v>
      </c>
      <c r="AJ915">
        <v>0</v>
      </c>
      <c r="AK915">
        <v>2</v>
      </c>
      <c r="AL915" t="s">
        <v>12048</v>
      </c>
      <c r="AM915" t="s">
        <v>1567</v>
      </c>
      <c r="AN915" t="s">
        <v>12049</v>
      </c>
      <c r="AO915" t="s">
        <v>12050</v>
      </c>
      <c r="AP915" t="s">
        <v>12051</v>
      </c>
      <c r="AQ915" t="s">
        <v>74</v>
      </c>
      <c r="AR915" t="s">
        <v>12052</v>
      </c>
      <c r="AS915" t="s">
        <v>12053</v>
      </c>
      <c r="AT915" t="s">
        <v>11711</v>
      </c>
      <c r="AU915">
        <v>2000</v>
      </c>
      <c r="AV915">
        <v>29</v>
      </c>
      <c r="AW915">
        <v>2</v>
      </c>
      <c r="AX915" t="s">
        <v>74</v>
      </c>
      <c r="AY915" t="s">
        <v>74</v>
      </c>
      <c r="AZ915" t="s">
        <v>74</v>
      </c>
      <c r="BA915" t="s">
        <v>74</v>
      </c>
      <c r="BB915">
        <v>399</v>
      </c>
      <c r="BC915" t="s">
        <v>1484</v>
      </c>
      <c r="BD915" t="s">
        <v>74</v>
      </c>
      <c r="BE915" t="s">
        <v>12054</v>
      </c>
      <c r="BF915" t="str">
        <f>HYPERLINK("http://dx.doi.org/10.1016/S0889-8529(05)70139-0","http://dx.doi.org/10.1016/S0889-8529(05)70139-0")</f>
        <v>http://dx.doi.org/10.1016/S0889-8529(05)70139-0</v>
      </c>
      <c r="BG915" t="s">
        <v>74</v>
      </c>
      <c r="BH915" t="s">
        <v>74</v>
      </c>
      <c r="BI915">
        <v>19</v>
      </c>
      <c r="BJ915" t="s">
        <v>2119</v>
      </c>
      <c r="BK915" t="s">
        <v>94</v>
      </c>
      <c r="BL915" t="s">
        <v>2119</v>
      </c>
      <c r="BM915" t="s">
        <v>12055</v>
      </c>
      <c r="BN915">
        <v>10874537</v>
      </c>
      <c r="BO915" t="s">
        <v>74</v>
      </c>
      <c r="BP915" t="s">
        <v>74</v>
      </c>
      <c r="BQ915" t="s">
        <v>74</v>
      </c>
      <c r="BR915" t="s">
        <v>97</v>
      </c>
      <c r="BS915" t="s">
        <v>12056</v>
      </c>
      <c r="BT915" t="str">
        <f>HYPERLINK("https%3A%2F%2Fwww.webofscience.com%2Fwos%2Fwoscc%2Ffull-record%2FWOS:000087534800012","View Full Record in Web of Science")</f>
        <v>View Full Record in Web of Science</v>
      </c>
    </row>
    <row r="916" spans="1:72" x14ac:dyDescent="0.15">
      <c r="A916" t="s">
        <v>72</v>
      </c>
      <c r="B916" t="s">
        <v>12057</v>
      </c>
      <c r="C916" t="s">
        <v>74</v>
      </c>
      <c r="D916" t="s">
        <v>74</v>
      </c>
      <c r="E916" t="s">
        <v>74</v>
      </c>
      <c r="F916" t="s">
        <v>12057</v>
      </c>
      <c r="G916" t="s">
        <v>74</v>
      </c>
      <c r="H916" t="s">
        <v>74</v>
      </c>
      <c r="I916" t="s">
        <v>12058</v>
      </c>
      <c r="J916" t="s">
        <v>806</v>
      </c>
      <c r="K916" t="s">
        <v>74</v>
      </c>
      <c r="L916" t="s">
        <v>74</v>
      </c>
      <c r="M916" t="s">
        <v>77</v>
      </c>
      <c r="N916" t="s">
        <v>78</v>
      </c>
      <c r="O916" t="s">
        <v>74</v>
      </c>
      <c r="P916" t="s">
        <v>74</v>
      </c>
      <c r="Q916" t="s">
        <v>74</v>
      </c>
      <c r="R916" t="s">
        <v>74</v>
      </c>
      <c r="S916" t="s">
        <v>74</v>
      </c>
      <c r="T916" t="s">
        <v>12059</v>
      </c>
      <c r="U916" t="s">
        <v>12060</v>
      </c>
      <c r="V916" t="s">
        <v>12061</v>
      </c>
      <c r="W916" t="s">
        <v>12062</v>
      </c>
      <c r="X916" t="s">
        <v>12063</v>
      </c>
      <c r="Y916" t="s">
        <v>12064</v>
      </c>
      <c r="Z916" t="s">
        <v>11514</v>
      </c>
      <c r="AA916" t="s">
        <v>12065</v>
      </c>
      <c r="AB916" t="s">
        <v>12066</v>
      </c>
      <c r="AC916" t="s">
        <v>74</v>
      </c>
      <c r="AD916" t="s">
        <v>74</v>
      </c>
      <c r="AE916" t="s">
        <v>74</v>
      </c>
      <c r="AF916" t="s">
        <v>74</v>
      </c>
      <c r="AG916">
        <v>66</v>
      </c>
      <c r="AH916">
        <v>49</v>
      </c>
      <c r="AI916">
        <v>60</v>
      </c>
      <c r="AJ916">
        <v>0</v>
      </c>
      <c r="AK916">
        <v>9</v>
      </c>
      <c r="AL916" t="s">
        <v>813</v>
      </c>
      <c r="AM916" t="s">
        <v>814</v>
      </c>
      <c r="AN916" t="s">
        <v>815</v>
      </c>
      <c r="AO916" t="s">
        <v>816</v>
      </c>
      <c r="AP916" t="s">
        <v>74</v>
      </c>
      <c r="AQ916" t="s">
        <v>74</v>
      </c>
      <c r="AR916" t="s">
        <v>817</v>
      </c>
      <c r="AS916" t="s">
        <v>818</v>
      </c>
      <c r="AT916" t="s">
        <v>11711</v>
      </c>
      <c r="AU916">
        <v>2000</v>
      </c>
      <c r="AV916">
        <v>267</v>
      </c>
      <c r="AW916">
        <v>12</v>
      </c>
      <c r="AX916" t="s">
        <v>74</v>
      </c>
      <c r="AY916" t="s">
        <v>74</v>
      </c>
      <c r="AZ916" t="s">
        <v>74</v>
      </c>
      <c r="BA916" t="s">
        <v>74</v>
      </c>
      <c r="BB916">
        <v>3502</v>
      </c>
      <c r="BC916">
        <v>3512</v>
      </c>
      <c r="BD916" t="s">
        <v>74</v>
      </c>
      <c r="BE916" t="s">
        <v>12067</v>
      </c>
      <c r="BF916" t="str">
        <f>HYPERLINK("http://dx.doi.org/10.1046/j.1432-1327.2000.01377.x","http://dx.doi.org/10.1046/j.1432-1327.2000.01377.x")</f>
        <v>http://dx.doi.org/10.1046/j.1432-1327.2000.01377.x</v>
      </c>
      <c r="BG916" t="s">
        <v>74</v>
      </c>
      <c r="BH916" t="s">
        <v>74</v>
      </c>
      <c r="BI916">
        <v>11</v>
      </c>
      <c r="BJ916" t="s">
        <v>820</v>
      </c>
      <c r="BK916" t="s">
        <v>94</v>
      </c>
      <c r="BL916" t="s">
        <v>820</v>
      </c>
      <c r="BM916" t="s">
        <v>12068</v>
      </c>
      <c r="BN916">
        <v>10848966</v>
      </c>
      <c r="BO916" t="s">
        <v>12069</v>
      </c>
      <c r="BP916" t="s">
        <v>74</v>
      </c>
      <c r="BQ916" t="s">
        <v>74</v>
      </c>
      <c r="BR916" t="s">
        <v>97</v>
      </c>
      <c r="BS916" t="s">
        <v>12070</v>
      </c>
      <c r="BT916" t="str">
        <f>HYPERLINK("https%3A%2F%2Fwww.webofscience.com%2Fwos%2Fwoscc%2Ffull-record%2FWOS:000087624600013","View Full Record in Web of Science")</f>
        <v>View Full Record in Web of Science</v>
      </c>
    </row>
    <row r="917" spans="1:72" x14ac:dyDescent="0.15">
      <c r="A917" t="s">
        <v>72</v>
      </c>
      <c r="B917" t="s">
        <v>12071</v>
      </c>
      <c r="C917" t="s">
        <v>74</v>
      </c>
      <c r="D917" t="s">
        <v>74</v>
      </c>
      <c r="E917" t="s">
        <v>74</v>
      </c>
      <c r="F917" t="s">
        <v>12071</v>
      </c>
      <c r="G917" t="s">
        <v>74</v>
      </c>
      <c r="H917" t="s">
        <v>74</v>
      </c>
      <c r="I917" t="s">
        <v>12072</v>
      </c>
      <c r="J917" t="s">
        <v>5332</v>
      </c>
      <c r="K917" t="s">
        <v>74</v>
      </c>
      <c r="L917" t="s">
        <v>74</v>
      </c>
      <c r="M917" t="s">
        <v>77</v>
      </c>
      <c r="N917" t="s">
        <v>78</v>
      </c>
      <c r="O917" t="s">
        <v>74</v>
      </c>
      <c r="P917" t="s">
        <v>74</v>
      </c>
      <c r="Q917" t="s">
        <v>74</v>
      </c>
      <c r="R917" t="s">
        <v>74</v>
      </c>
      <c r="S917" t="s">
        <v>74</v>
      </c>
      <c r="T917" t="s">
        <v>12073</v>
      </c>
      <c r="U917" t="s">
        <v>12074</v>
      </c>
      <c r="V917" t="s">
        <v>12075</v>
      </c>
      <c r="W917" t="s">
        <v>12076</v>
      </c>
      <c r="X917" t="s">
        <v>12077</v>
      </c>
      <c r="Y917" t="s">
        <v>12078</v>
      </c>
      <c r="Z917" t="s">
        <v>74</v>
      </c>
      <c r="AA917" t="s">
        <v>12079</v>
      </c>
      <c r="AB917" t="s">
        <v>12080</v>
      </c>
      <c r="AC917" t="s">
        <v>74</v>
      </c>
      <c r="AD917" t="s">
        <v>74</v>
      </c>
      <c r="AE917" t="s">
        <v>74</v>
      </c>
      <c r="AF917" t="s">
        <v>74</v>
      </c>
      <c r="AG917">
        <v>36</v>
      </c>
      <c r="AH917">
        <v>82</v>
      </c>
      <c r="AI917">
        <v>90</v>
      </c>
      <c r="AJ917">
        <v>0</v>
      </c>
      <c r="AK917">
        <v>11</v>
      </c>
      <c r="AL917" t="s">
        <v>10006</v>
      </c>
      <c r="AM917" t="s">
        <v>160</v>
      </c>
      <c r="AN917" t="s">
        <v>161</v>
      </c>
      <c r="AO917" t="s">
        <v>5344</v>
      </c>
      <c r="AP917" t="s">
        <v>74</v>
      </c>
      <c r="AQ917" t="s">
        <v>74</v>
      </c>
      <c r="AR917" t="s">
        <v>5332</v>
      </c>
      <c r="AS917" t="s">
        <v>5346</v>
      </c>
      <c r="AT917" t="s">
        <v>11711</v>
      </c>
      <c r="AU917">
        <v>2000</v>
      </c>
      <c r="AV917">
        <v>4</v>
      </c>
      <c r="AW917">
        <v>3</v>
      </c>
      <c r="AX917" t="s">
        <v>74</v>
      </c>
      <c r="AY917" t="s">
        <v>74</v>
      </c>
      <c r="AZ917" t="s">
        <v>74</v>
      </c>
      <c r="BA917" t="s">
        <v>74</v>
      </c>
      <c r="BB917">
        <v>137</v>
      </c>
      <c r="BC917">
        <v>144</v>
      </c>
      <c r="BD917" t="s">
        <v>74</v>
      </c>
      <c r="BE917" t="s">
        <v>12081</v>
      </c>
      <c r="BF917" t="str">
        <f>HYPERLINK("http://dx.doi.org/10.1007/s007920070028","http://dx.doi.org/10.1007/s007920070028")</f>
        <v>http://dx.doi.org/10.1007/s007920070028</v>
      </c>
      <c r="BG917" t="s">
        <v>74</v>
      </c>
      <c r="BH917" t="s">
        <v>74</v>
      </c>
      <c r="BI917">
        <v>8</v>
      </c>
      <c r="BJ917" t="s">
        <v>5348</v>
      </c>
      <c r="BK917" t="s">
        <v>94</v>
      </c>
      <c r="BL917" t="s">
        <v>5348</v>
      </c>
      <c r="BM917" t="s">
        <v>12082</v>
      </c>
      <c r="BN917">
        <v>10879558</v>
      </c>
      <c r="BO917" t="s">
        <v>74</v>
      </c>
      <c r="BP917" t="s">
        <v>74</v>
      </c>
      <c r="BQ917" t="s">
        <v>74</v>
      </c>
      <c r="BR917" t="s">
        <v>97</v>
      </c>
      <c r="BS917" t="s">
        <v>12083</v>
      </c>
      <c r="BT917" t="str">
        <f>HYPERLINK("https%3A%2F%2Fwww.webofscience.com%2Fwos%2Fwoscc%2Ffull-record%2FWOS:000087790300002","View Full Record in Web of Science")</f>
        <v>View Full Record in Web of Science</v>
      </c>
    </row>
    <row r="918" spans="1:72" x14ac:dyDescent="0.15">
      <c r="A918" t="s">
        <v>72</v>
      </c>
      <c r="B918" t="s">
        <v>12084</v>
      </c>
      <c r="C918" t="s">
        <v>74</v>
      </c>
      <c r="D918" t="s">
        <v>74</v>
      </c>
      <c r="E918" t="s">
        <v>74</v>
      </c>
      <c r="F918" t="s">
        <v>12084</v>
      </c>
      <c r="G918" t="s">
        <v>74</v>
      </c>
      <c r="H918" t="s">
        <v>74</v>
      </c>
      <c r="I918" t="s">
        <v>12085</v>
      </c>
      <c r="J918" t="s">
        <v>10819</v>
      </c>
      <c r="K918" t="s">
        <v>74</v>
      </c>
      <c r="L918" t="s">
        <v>74</v>
      </c>
      <c r="M918" t="s">
        <v>77</v>
      </c>
      <c r="N918" t="s">
        <v>78</v>
      </c>
      <c r="O918" t="s">
        <v>74</v>
      </c>
      <c r="P918" t="s">
        <v>74</v>
      </c>
      <c r="Q918" t="s">
        <v>74</v>
      </c>
      <c r="R918" t="s">
        <v>74</v>
      </c>
      <c r="S918" t="s">
        <v>74</v>
      </c>
      <c r="T918" t="s">
        <v>12086</v>
      </c>
      <c r="U918" t="s">
        <v>12087</v>
      </c>
      <c r="V918" t="s">
        <v>12088</v>
      </c>
      <c r="W918" t="s">
        <v>885</v>
      </c>
      <c r="X918" t="s">
        <v>221</v>
      </c>
      <c r="Y918" t="s">
        <v>12089</v>
      </c>
      <c r="Z918" t="s">
        <v>12090</v>
      </c>
      <c r="AA918" t="s">
        <v>74</v>
      </c>
      <c r="AB918" t="s">
        <v>74</v>
      </c>
      <c r="AC918" t="s">
        <v>74</v>
      </c>
      <c r="AD918" t="s">
        <v>74</v>
      </c>
      <c r="AE918" t="s">
        <v>74</v>
      </c>
      <c r="AF918" t="s">
        <v>74</v>
      </c>
      <c r="AG918">
        <v>35</v>
      </c>
      <c r="AH918">
        <v>72</v>
      </c>
      <c r="AI918">
        <v>80</v>
      </c>
      <c r="AJ918">
        <v>0</v>
      </c>
      <c r="AK918">
        <v>13</v>
      </c>
      <c r="AL918" t="s">
        <v>1823</v>
      </c>
      <c r="AM918" t="s">
        <v>1121</v>
      </c>
      <c r="AN918" t="s">
        <v>1824</v>
      </c>
      <c r="AO918" t="s">
        <v>10827</v>
      </c>
      <c r="AP918" t="s">
        <v>12091</v>
      </c>
      <c r="AQ918" t="s">
        <v>74</v>
      </c>
      <c r="AR918" t="s">
        <v>10828</v>
      </c>
      <c r="AS918" t="s">
        <v>10829</v>
      </c>
      <c r="AT918" t="s">
        <v>11711</v>
      </c>
      <c r="AU918">
        <v>2000</v>
      </c>
      <c r="AV918">
        <v>47</v>
      </c>
      <c r="AW918">
        <v>1</v>
      </c>
      <c r="AX918" t="s">
        <v>74</v>
      </c>
      <c r="AY918" t="s">
        <v>74</v>
      </c>
      <c r="AZ918" t="s">
        <v>74</v>
      </c>
      <c r="BA918" t="s">
        <v>74</v>
      </c>
      <c r="BB918">
        <v>27</v>
      </c>
      <c r="BC918">
        <v>40</v>
      </c>
      <c r="BD918" t="s">
        <v>74</v>
      </c>
      <c r="BE918" t="s">
        <v>12092</v>
      </c>
      <c r="BF918" t="str">
        <f>HYPERLINK("http://dx.doi.org/10.1016/S0165-7836(99)00127-7","http://dx.doi.org/10.1016/S0165-7836(99)00127-7")</f>
        <v>http://dx.doi.org/10.1016/S0165-7836(99)00127-7</v>
      </c>
      <c r="BG918" t="s">
        <v>74</v>
      </c>
      <c r="BH918" t="s">
        <v>74</v>
      </c>
      <c r="BI918">
        <v>14</v>
      </c>
      <c r="BJ918" t="s">
        <v>3507</v>
      </c>
      <c r="BK918" t="s">
        <v>94</v>
      </c>
      <c r="BL918" t="s">
        <v>3507</v>
      </c>
      <c r="BM918" t="s">
        <v>12093</v>
      </c>
      <c r="BN918" t="s">
        <v>74</v>
      </c>
      <c r="BO918" t="s">
        <v>74</v>
      </c>
      <c r="BP918" t="s">
        <v>74</v>
      </c>
      <c r="BQ918" t="s">
        <v>74</v>
      </c>
      <c r="BR918" t="s">
        <v>97</v>
      </c>
      <c r="BS918" t="s">
        <v>12094</v>
      </c>
      <c r="BT918" t="str">
        <f>HYPERLINK("https%3A%2F%2Fwww.webofscience.com%2Fwos%2Fwoscc%2Ffull-record%2FWOS:000087396500003","View Full Record in Web of Science")</f>
        <v>View Full Record in Web of Science</v>
      </c>
    </row>
    <row r="919" spans="1:72" x14ac:dyDescent="0.15">
      <c r="A919" t="s">
        <v>72</v>
      </c>
      <c r="B919" t="s">
        <v>12095</v>
      </c>
      <c r="C919" t="s">
        <v>74</v>
      </c>
      <c r="D919" t="s">
        <v>74</v>
      </c>
      <c r="E919" t="s">
        <v>74</v>
      </c>
      <c r="F919" t="s">
        <v>12095</v>
      </c>
      <c r="G919" t="s">
        <v>74</v>
      </c>
      <c r="H919" t="s">
        <v>74</v>
      </c>
      <c r="I919" t="s">
        <v>12096</v>
      </c>
      <c r="J919" t="s">
        <v>12097</v>
      </c>
      <c r="K919" t="s">
        <v>74</v>
      </c>
      <c r="L919" t="s">
        <v>74</v>
      </c>
      <c r="M919" t="s">
        <v>77</v>
      </c>
      <c r="N919" t="s">
        <v>576</v>
      </c>
      <c r="O919" t="s">
        <v>12098</v>
      </c>
      <c r="P919" t="s">
        <v>12099</v>
      </c>
      <c r="Q919" t="s">
        <v>12100</v>
      </c>
      <c r="R919" t="s">
        <v>74</v>
      </c>
      <c r="S919" t="s">
        <v>74</v>
      </c>
      <c r="T919" t="s">
        <v>12101</v>
      </c>
      <c r="U919" t="s">
        <v>74</v>
      </c>
      <c r="V919" t="s">
        <v>74</v>
      </c>
      <c r="W919" t="s">
        <v>12102</v>
      </c>
      <c r="X919" t="s">
        <v>12103</v>
      </c>
      <c r="Y919" t="s">
        <v>12104</v>
      </c>
      <c r="Z919" t="s">
        <v>74</v>
      </c>
      <c r="AA919" t="s">
        <v>74</v>
      </c>
      <c r="AB919" t="s">
        <v>74</v>
      </c>
      <c r="AC919" t="s">
        <v>74</v>
      </c>
      <c r="AD919" t="s">
        <v>74</v>
      </c>
      <c r="AE919" t="s">
        <v>74</v>
      </c>
      <c r="AF919" t="s">
        <v>74</v>
      </c>
      <c r="AG919">
        <v>9</v>
      </c>
      <c r="AH919">
        <v>0</v>
      </c>
      <c r="AI919">
        <v>0</v>
      </c>
      <c r="AJ919">
        <v>0</v>
      </c>
      <c r="AK919">
        <v>1</v>
      </c>
      <c r="AL919" t="s">
        <v>12105</v>
      </c>
      <c r="AM919" t="s">
        <v>12106</v>
      </c>
      <c r="AN919" t="s">
        <v>12107</v>
      </c>
      <c r="AO919" t="s">
        <v>12108</v>
      </c>
      <c r="AP919" t="s">
        <v>74</v>
      </c>
      <c r="AQ919" t="s">
        <v>74</v>
      </c>
      <c r="AR919" t="s">
        <v>12109</v>
      </c>
      <c r="AS919" t="s">
        <v>12110</v>
      </c>
      <c r="AT919" t="s">
        <v>11711</v>
      </c>
      <c r="AU919">
        <v>2000</v>
      </c>
      <c r="AV919">
        <v>51</v>
      </c>
      <c r="AW919">
        <v>3</v>
      </c>
      <c r="AX919" t="s">
        <v>74</v>
      </c>
      <c r="AY919" t="s">
        <v>74</v>
      </c>
      <c r="AZ919" t="s">
        <v>74</v>
      </c>
      <c r="BA919" t="s">
        <v>74</v>
      </c>
      <c r="BB919">
        <v>180</v>
      </c>
      <c r="BC919">
        <v>181</v>
      </c>
      <c r="BD919" t="s">
        <v>74</v>
      </c>
      <c r="BE919" t="s">
        <v>74</v>
      </c>
      <c r="BF919" t="s">
        <v>74</v>
      </c>
      <c r="BG919" t="s">
        <v>74</v>
      </c>
      <c r="BH919" t="s">
        <v>74</v>
      </c>
      <c r="BI919">
        <v>2</v>
      </c>
      <c r="BJ919" t="s">
        <v>595</v>
      </c>
      <c r="BK919" t="s">
        <v>596</v>
      </c>
      <c r="BL919" t="s">
        <v>597</v>
      </c>
      <c r="BM919" t="s">
        <v>12111</v>
      </c>
      <c r="BN919" t="s">
        <v>74</v>
      </c>
      <c r="BO919" t="s">
        <v>74</v>
      </c>
      <c r="BP919" t="s">
        <v>74</v>
      </c>
      <c r="BQ919" t="s">
        <v>74</v>
      </c>
      <c r="BR919" t="s">
        <v>97</v>
      </c>
      <c r="BS919" t="s">
        <v>12112</v>
      </c>
      <c r="BT919" t="str">
        <f>HYPERLINK("https%3A%2F%2Fwww.webofscience.com%2Fwos%2Fwoscc%2Ffull-record%2FWOS:000087802400020","View Full Record in Web of Science")</f>
        <v>View Full Record in Web of Science</v>
      </c>
    </row>
    <row r="920" spans="1:72" x14ac:dyDescent="0.15">
      <c r="A920" t="s">
        <v>72</v>
      </c>
      <c r="B920" t="s">
        <v>12113</v>
      </c>
      <c r="C920" t="s">
        <v>74</v>
      </c>
      <c r="D920" t="s">
        <v>74</v>
      </c>
      <c r="E920" t="s">
        <v>74</v>
      </c>
      <c r="F920" t="s">
        <v>12113</v>
      </c>
      <c r="G920" t="s">
        <v>74</v>
      </c>
      <c r="H920" t="s">
        <v>74</v>
      </c>
      <c r="I920" t="s">
        <v>12114</v>
      </c>
      <c r="J920" t="s">
        <v>975</v>
      </c>
      <c r="K920" t="s">
        <v>74</v>
      </c>
      <c r="L920" t="s">
        <v>74</v>
      </c>
      <c r="M920" t="s">
        <v>77</v>
      </c>
      <c r="N920" t="s">
        <v>78</v>
      </c>
      <c r="O920" t="s">
        <v>74</v>
      </c>
      <c r="P920" t="s">
        <v>74</v>
      </c>
      <c r="Q920" t="s">
        <v>74</v>
      </c>
      <c r="R920" t="s">
        <v>74</v>
      </c>
      <c r="S920" t="s">
        <v>74</v>
      </c>
      <c r="T920" t="s">
        <v>12115</v>
      </c>
      <c r="U920" t="s">
        <v>12116</v>
      </c>
      <c r="V920" t="s">
        <v>12117</v>
      </c>
      <c r="W920" t="s">
        <v>12118</v>
      </c>
      <c r="X920" t="s">
        <v>2320</v>
      </c>
      <c r="Y920" t="s">
        <v>10949</v>
      </c>
      <c r="Z920" t="s">
        <v>74</v>
      </c>
      <c r="AA920" t="s">
        <v>74</v>
      </c>
      <c r="AB920" t="s">
        <v>12119</v>
      </c>
      <c r="AC920" t="s">
        <v>74</v>
      </c>
      <c r="AD920" t="s">
        <v>74</v>
      </c>
      <c r="AE920" t="s">
        <v>74</v>
      </c>
      <c r="AF920" t="s">
        <v>74</v>
      </c>
      <c r="AG920">
        <v>41</v>
      </c>
      <c r="AH920">
        <v>120</v>
      </c>
      <c r="AI920">
        <v>132</v>
      </c>
      <c r="AJ920">
        <v>0</v>
      </c>
      <c r="AK920">
        <v>13</v>
      </c>
      <c r="AL920" t="s">
        <v>12120</v>
      </c>
      <c r="AM920" t="s">
        <v>982</v>
      </c>
      <c r="AN920" t="s">
        <v>983</v>
      </c>
      <c r="AO920" t="s">
        <v>984</v>
      </c>
      <c r="AP920" t="s">
        <v>12121</v>
      </c>
      <c r="AQ920" t="s">
        <v>74</v>
      </c>
      <c r="AR920" t="s">
        <v>975</v>
      </c>
      <c r="AS920" t="s">
        <v>597</v>
      </c>
      <c r="AT920" t="s">
        <v>11711</v>
      </c>
      <c r="AU920">
        <v>2000</v>
      </c>
      <c r="AV920">
        <v>28</v>
      </c>
      <c r="AW920">
        <v>6</v>
      </c>
      <c r="AX920" t="s">
        <v>74</v>
      </c>
      <c r="AY920" t="s">
        <v>74</v>
      </c>
      <c r="AZ920" t="s">
        <v>74</v>
      </c>
      <c r="BA920" t="s">
        <v>74</v>
      </c>
      <c r="BB920">
        <v>539</v>
      </c>
      <c r="BC920">
        <v>542</v>
      </c>
      <c r="BD920" t="s">
        <v>74</v>
      </c>
      <c r="BE920" t="s">
        <v>12122</v>
      </c>
      <c r="BF920" t="str">
        <f>HYPERLINK("http://dx.doi.org/10.1130/0091-7613(2000)28&lt;539:WTJTPF&gt;2.0.CO;2","http://dx.doi.org/10.1130/0091-7613(2000)28&lt;539:WTJTPF&gt;2.0.CO;2")</f>
        <v>http://dx.doi.org/10.1130/0091-7613(2000)28&lt;539:WTJTPF&gt;2.0.CO;2</v>
      </c>
      <c r="BG920" t="s">
        <v>74</v>
      </c>
      <c r="BH920" t="s">
        <v>74</v>
      </c>
      <c r="BI920">
        <v>4</v>
      </c>
      <c r="BJ920" t="s">
        <v>597</v>
      </c>
      <c r="BK920" t="s">
        <v>94</v>
      </c>
      <c r="BL920" t="s">
        <v>597</v>
      </c>
      <c r="BM920" t="s">
        <v>12123</v>
      </c>
      <c r="BN920" t="s">
        <v>74</v>
      </c>
      <c r="BO920" t="s">
        <v>74</v>
      </c>
      <c r="BP920" t="s">
        <v>74</v>
      </c>
      <c r="BQ920" t="s">
        <v>74</v>
      </c>
      <c r="BR920" t="s">
        <v>97</v>
      </c>
      <c r="BS920" t="s">
        <v>12124</v>
      </c>
      <c r="BT920" t="str">
        <f>HYPERLINK("https%3A%2F%2Fwww.webofscience.com%2Fwos%2Fwoscc%2Ffull-record%2FWOS:000087312300015","View Full Record in Web of Science")</f>
        <v>View Full Record in Web of Science</v>
      </c>
    </row>
    <row r="921" spans="1:72" x14ac:dyDescent="0.15">
      <c r="A921" t="s">
        <v>72</v>
      </c>
      <c r="B921" t="s">
        <v>12125</v>
      </c>
      <c r="C921" t="s">
        <v>74</v>
      </c>
      <c r="D921" t="s">
        <v>74</v>
      </c>
      <c r="E921" t="s">
        <v>74</v>
      </c>
      <c r="F921" t="s">
        <v>12125</v>
      </c>
      <c r="G921" t="s">
        <v>74</v>
      </c>
      <c r="H921" t="s">
        <v>74</v>
      </c>
      <c r="I921" t="s">
        <v>12126</v>
      </c>
      <c r="J921" t="s">
        <v>5383</v>
      </c>
      <c r="K921" t="s">
        <v>74</v>
      </c>
      <c r="L921" t="s">
        <v>74</v>
      </c>
      <c r="M921" t="s">
        <v>77</v>
      </c>
      <c r="N921" t="s">
        <v>78</v>
      </c>
      <c r="O921" t="s">
        <v>74</v>
      </c>
      <c r="P921" t="s">
        <v>74</v>
      </c>
      <c r="Q921" t="s">
        <v>74</v>
      </c>
      <c r="R921" t="s">
        <v>74</v>
      </c>
      <c r="S921" t="s">
        <v>74</v>
      </c>
      <c r="T921" t="s">
        <v>74</v>
      </c>
      <c r="U921" t="s">
        <v>12127</v>
      </c>
      <c r="V921" t="s">
        <v>12128</v>
      </c>
      <c r="W921" t="s">
        <v>10973</v>
      </c>
      <c r="X921" t="s">
        <v>1365</v>
      </c>
      <c r="Y921" t="s">
        <v>12129</v>
      </c>
      <c r="Z921" t="s">
        <v>74</v>
      </c>
      <c r="AA921" t="s">
        <v>12130</v>
      </c>
      <c r="AB921" t="s">
        <v>74</v>
      </c>
      <c r="AC921" t="s">
        <v>74</v>
      </c>
      <c r="AD921" t="s">
        <v>74</v>
      </c>
      <c r="AE921" t="s">
        <v>74</v>
      </c>
      <c r="AF921" t="s">
        <v>74</v>
      </c>
      <c r="AG921">
        <v>37</v>
      </c>
      <c r="AH921">
        <v>79</v>
      </c>
      <c r="AI921">
        <v>87</v>
      </c>
      <c r="AJ921">
        <v>0</v>
      </c>
      <c r="AK921">
        <v>24</v>
      </c>
      <c r="AL921" t="s">
        <v>1059</v>
      </c>
      <c r="AM921" t="s">
        <v>1060</v>
      </c>
      <c r="AN921" t="s">
        <v>1061</v>
      </c>
      <c r="AO921" t="s">
        <v>5391</v>
      </c>
      <c r="AP921" t="s">
        <v>74</v>
      </c>
      <c r="AQ921" t="s">
        <v>74</v>
      </c>
      <c r="AR921" t="s">
        <v>5392</v>
      </c>
      <c r="AS921" t="s">
        <v>5393</v>
      </c>
      <c r="AT921" t="s">
        <v>11711</v>
      </c>
      <c r="AU921">
        <v>2000</v>
      </c>
      <c r="AV921">
        <v>14</v>
      </c>
      <c r="AW921">
        <v>2</v>
      </c>
      <c r="AX921" t="s">
        <v>74</v>
      </c>
      <c r="AY921" t="s">
        <v>74</v>
      </c>
      <c r="AZ921" t="s">
        <v>74</v>
      </c>
      <c r="BA921" t="s">
        <v>74</v>
      </c>
      <c r="BB921">
        <v>537</v>
      </c>
      <c r="BC921">
        <v>543</v>
      </c>
      <c r="BD921" t="s">
        <v>74</v>
      </c>
      <c r="BE921" t="s">
        <v>12131</v>
      </c>
      <c r="BF921" t="str">
        <f>HYPERLINK("http://dx.doi.org/10.1029/1999GB900070","http://dx.doi.org/10.1029/1999GB900070")</f>
        <v>http://dx.doi.org/10.1029/1999GB900070</v>
      </c>
      <c r="BG921" t="s">
        <v>74</v>
      </c>
      <c r="BH921" t="s">
        <v>74</v>
      </c>
      <c r="BI921">
        <v>7</v>
      </c>
      <c r="BJ921" t="s">
        <v>5395</v>
      </c>
      <c r="BK921" t="s">
        <v>94</v>
      </c>
      <c r="BL921" t="s">
        <v>5396</v>
      </c>
      <c r="BM921" t="s">
        <v>12132</v>
      </c>
      <c r="BN921" t="s">
        <v>74</v>
      </c>
      <c r="BO921" t="s">
        <v>1755</v>
      </c>
      <c r="BP921" t="s">
        <v>74</v>
      </c>
      <c r="BQ921" t="s">
        <v>74</v>
      </c>
      <c r="BR921" t="s">
        <v>97</v>
      </c>
      <c r="BS921" t="s">
        <v>12133</v>
      </c>
      <c r="BT921" t="str">
        <f>HYPERLINK("https%3A%2F%2Fwww.webofscience.com%2Fwos%2Fwoscc%2Ffull-record%2FWOS:000087586100002","View Full Record in Web of Science")</f>
        <v>View Full Record in Web of Science</v>
      </c>
    </row>
    <row r="922" spans="1:72" x14ac:dyDescent="0.15">
      <c r="A922" t="s">
        <v>72</v>
      </c>
      <c r="B922" t="s">
        <v>12134</v>
      </c>
      <c r="C922" t="s">
        <v>74</v>
      </c>
      <c r="D922" t="s">
        <v>74</v>
      </c>
      <c r="E922" t="s">
        <v>74</v>
      </c>
      <c r="F922" t="s">
        <v>12134</v>
      </c>
      <c r="G922" t="s">
        <v>74</v>
      </c>
      <c r="H922" t="s">
        <v>74</v>
      </c>
      <c r="I922" t="s">
        <v>12135</v>
      </c>
      <c r="J922" t="s">
        <v>1245</v>
      </c>
      <c r="K922" t="s">
        <v>74</v>
      </c>
      <c r="L922" t="s">
        <v>74</v>
      </c>
      <c r="M922" t="s">
        <v>77</v>
      </c>
      <c r="N922" t="s">
        <v>78</v>
      </c>
      <c r="O922" t="s">
        <v>74</v>
      </c>
      <c r="P922" t="s">
        <v>74</v>
      </c>
      <c r="Q922" t="s">
        <v>74</v>
      </c>
      <c r="R922" t="s">
        <v>74</v>
      </c>
      <c r="S922" t="s">
        <v>74</v>
      </c>
      <c r="T922" t="s">
        <v>12136</v>
      </c>
      <c r="U922" t="s">
        <v>12137</v>
      </c>
      <c r="V922" t="s">
        <v>12138</v>
      </c>
      <c r="W922" t="s">
        <v>12139</v>
      </c>
      <c r="X922" t="s">
        <v>12140</v>
      </c>
      <c r="Y922" t="s">
        <v>12141</v>
      </c>
      <c r="Z922" t="s">
        <v>74</v>
      </c>
      <c r="AA922" t="s">
        <v>74</v>
      </c>
      <c r="AB922" t="s">
        <v>74</v>
      </c>
      <c r="AC922" t="s">
        <v>74</v>
      </c>
      <c r="AD922" t="s">
        <v>74</v>
      </c>
      <c r="AE922" t="s">
        <v>74</v>
      </c>
      <c r="AF922" t="s">
        <v>74</v>
      </c>
      <c r="AG922">
        <v>53</v>
      </c>
      <c r="AH922">
        <v>10</v>
      </c>
      <c r="AI922">
        <v>11</v>
      </c>
      <c r="AJ922">
        <v>0</v>
      </c>
      <c r="AK922">
        <v>8</v>
      </c>
      <c r="AL922" t="s">
        <v>906</v>
      </c>
      <c r="AM922" t="s">
        <v>738</v>
      </c>
      <c r="AN922" t="s">
        <v>1253</v>
      </c>
      <c r="AO922" t="s">
        <v>1254</v>
      </c>
      <c r="AP922" t="s">
        <v>1255</v>
      </c>
      <c r="AQ922" t="s">
        <v>74</v>
      </c>
      <c r="AR922" t="s">
        <v>1245</v>
      </c>
      <c r="AS922" t="s">
        <v>1256</v>
      </c>
      <c r="AT922" t="s">
        <v>12142</v>
      </c>
      <c r="AU922">
        <v>2000</v>
      </c>
      <c r="AV922">
        <v>427</v>
      </c>
      <c r="AW922" t="s">
        <v>1257</v>
      </c>
      <c r="AX922" t="s">
        <v>74</v>
      </c>
      <c r="AY922" t="s">
        <v>74</v>
      </c>
      <c r="AZ922" t="s">
        <v>74</v>
      </c>
      <c r="BA922" t="s">
        <v>74</v>
      </c>
      <c r="BB922">
        <v>155</v>
      </c>
      <c r="BC922">
        <v>165</v>
      </c>
      <c r="BD922" t="s">
        <v>74</v>
      </c>
      <c r="BE922" t="s">
        <v>12143</v>
      </c>
      <c r="BF922" t="str">
        <f>HYPERLINK("http://dx.doi.org/10.1023/A:1003915227163","http://dx.doi.org/10.1023/A:1003915227163")</f>
        <v>http://dx.doi.org/10.1023/A:1003915227163</v>
      </c>
      <c r="BG922" t="s">
        <v>74</v>
      </c>
      <c r="BH922" t="s">
        <v>74</v>
      </c>
      <c r="BI922">
        <v>11</v>
      </c>
      <c r="BJ922" t="s">
        <v>1259</v>
      </c>
      <c r="BK922" t="s">
        <v>94</v>
      </c>
      <c r="BL922" t="s">
        <v>1259</v>
      </c>
      <c r="BM922" t="s">
        <v>12144</v>
      </c>
      <c r="BN922" t="s">
        <v>74</v>
      </c>
      <c r="BO922" t="s">
        <v>74</v>
      </c>
      <c r="BP922" t="s">
        <v>74</v>
      </c>
      <c r="BQ922" t="s">
        <v>74</v>
      </c>
      <c r="BR922" t="s">
        <v>97</v>
      </c>
      <c r="BS922" t="s">
        <v>12145</v>
      </c>
      <c r="BT922" t="str">
        <f>HYPERLINK("https%3A%2F%2Fwww.webofscience.com%2Fwos%2Fwoscc%2Ffull-record%2FWOS:000088580100015","View Full Record in Web of Science")</f>
        <v>View Full Record in Web of Science</v>
      </c>
    </row>
    <row r="923" spans="1:72" x14ac:dyDescent="0.15">
      <c r="A923" t="s">
        <v>72</v>
      </c>
      <c r="B923" t="s">
        <v>12146</v>
      </c>
      <c r="C923" t="s">
        <v>74</v>
      </c>
      <c r="D923" t="s">
        <v>74</v>
      </c>
      <c r="E923" t="s">
        <v>74</v>
      </c>
      <c r="F923" t="s">
        <v>12146</v>
      </c>
      <c r="G923" t="s">
        <v>74</v>
      </c>
      <c r="H923" t="s">
        <v>74</v>
      </c>
      <c r="I923" t="s">
        <v>12147</v>
      </c>
      <c r="J923" t="s">
        <v>10162</v>
      </c>
      <c r="K923" t="s">
        <v>74</v>
      </c>
      <c r="L923" t="s">
        <v>74</v>
      </c>
      <c r="M923" t="s">
        <v>77</v>
      </c>
      <c r="N923" t="s">
        <v>576</v>
      </c>
      <c r="O923" t="s">
        <v>12148</v>
      </c>
      <c r="P923" t="s">
        <v>12149</v>
      </c>
      <c r="Q923" t="s">
        <v>12150</v>
      </c>
      <c r="R923" t="s">
        <v>74</v>
      </c>
      <c r="S923" t="s">
        <v>12151</v>
      </c>
      <c r="T923" t="s">
        <v>12152</v>
      </c>
      <c r="U923" t="s">
        <v>12153</v>
      </c>
      <c r="V923" t="s">
        <v>12154</v>
      </c>
      <c r="W923" t="s">
        <v>12155</v>
      </c>
      <c r="X923" t="s">
        <v>12156</v>
      </c>
      <c r="Y923" t="s">
        <v>12157</v>
      </c>
      <c r="Z923" t="s">
        <v>74</v>
      </c>
      <c r="AA923" t="s">
        <v>74</v>
      </c>
      <c r="AB923" t="s">
        <v>74</v>
      </c>
      <c r="AC923" t="s">
        <v>74</v>
      </c>
      <c r="AD923" t="s">
        <v>74</v>
      </c>
      <c r="AE923" t="s">
        <v>74</v>
      </c>
      <c r="AF923" t="s">
        <v>74</v>
      </c>
      <c r="AG923">
        <v>51</v>
      </c>
      <c r="AH923">
        <v>281</v>
      </c>
      <c r="AI923">
        <v>302</v>
      </c>
      <c r="AJ923">
        <v>2</v>
      </c>
      <c r="AK923">
        <v>89</v>
      </c>
      <c r="AL923" t="s">
        <v>5568</v>
      </c>
      <c r="AM923" t="s">
        <v>1208</v>
      </c>
      <c r="AN923" t="s">
        <v>1900</v>
      </c>
      <c r="AO923" t="s">
        <v>10169</v>
      </c>
      <c r="AP923" t="s">
        <v>74</v>
      </c>
      <c r="AQ923" t="s">
        <v>74</v>
      </c>
      <c r="AR923" t="s">
        <v>10170</v>
      </c>
      <c r="AS923" t="s">
        <v>10171</v>
      </c>
      <c r="AT923" t="s">
        <v>11711</v>
      </c>
      <c r="AU923">
        <v>2000</v>
      </c>
      <c r="AV923">
        <v>57</v>
      </c>
      <c r="AW923">
        <v>3</v>
      </c>
      <c r="AX923" t="s">
        <v>74</v>
      </c>
      <c r="AY923" t="s">
        <v>74</v>
      </c>
      <c r="AZ923" t="s">
        <v>74</v>
      </c>
      <c r="BA923" t="s">
        <v>74</v>
      </c>
      <c r="BB923">
        <v>778</v>
      </c>
      <c r="BC923">
        <v>791</v>
      </c>
      <c r="BD923" t="s">
        <v>74</v>
      </c>
      <c r="BE923" t="s">
        <v>12158</v>
      </c>
      <c r="BF923" t="str">
        <f>HYPERLINK("http://dx.doi.org/10.1006/jmsc.2000.0725","http://dx.doi.org/10.1006/jmsc.2000.0725")</f>
        <v>http://dx.doi.org/10.1006/jmsc.2000.0725</v>
      </c>
      <c r="BG923" t="s">
        <v>74</v>
      </c>
      <c r="BH923" t="s">
        <v>74</v>
      </c>
      <c r="BI923">
        <v>14</v>
      </c>
      <c r="BJ923" t="s">
        <v>2739</v>
      </c>
      <c r="BK923" t="s">
        <v>596</v>
      </c>
      <c r="BL923" t="s">
        <v>2739</v>
      </c>
      <c r="BM923" t="s">
        <v>12159</v>
      </c>
      <c r="BN923" t="s">
        <v>74</v>
      </c>
      <c r="BO923" t="s">
        <v>1755</v>
      </c>
      <c r="BP923" t="s">
        <v>74</v>
      </c>
      <c r="BQ923" t="s">
        <v>74</v>
      </c>
      <c r="BR923" t="s">
        <v>97</v>
      </c>
      <c r="BS923" t="s">
        <v>12160</v>
      </c>
      <c r="BT923" t="str">
        <f>HYPERLINK("https%3A%2F%2Fwww.webofscience.com%2Fwos%2Fwoscc%2Ffull-record%2FWOS:000088880200036","View Full Record in Web of Science")</f>
        <v>View Full Record in Web of Science</v>
      </c>
    </row>
    <row r="924" spans="1:72" x14ac:dyDescent="0.15">
      <c r="A924" t="s">
        <v>72</v>
      </c>
      <c r="B924" t="s">
        <v>12161</v>
      </c>
      <c r="C924" t="s">
        <v>74</v>
      </c>
      <c r="D924" t="s">
        <v>74</v>
      </c>
      <c r="E924" t="s">
        <v>74</v>
      </c>
      <c r="F924" t="s">
        <v>12161</v>
      </c>
      <c r="G924" t="s">
        <v>74</v>
      </c>
      <c r="H924" t="s">
        <v>74</v>
      </c>
      <c r="I924" t="s">
        <v>12162</v>
      </c>
      <c r="J924" t="s">
        <v>5418</v>
      </c>
      <c r="K924" t="s">
        <v>74</v>
      </c>
      <c r="L924" t="s">
        <v>74</v>
      </c>
      <c r="M924" t="s">
        <v>77</v>
      </c>
      <c r="N924" t="s">
        <v>5419</v>
      </c>
      <c r="O924" t="s">
        <v>74</v>
      </c>
      <c r="P924" t="s">
        <v>74</v>
      </c>
      <c r="Q924" t="s">
        <v>74</v>
      </c>
      <c r="R924" t="s">
        <v>74</v>
      </c>
      <c r="S924" t="s">
        <v>74</v>
      </c>
      <c r="T924" t="s">
        <v>74</v>
      </c>
      <c r="U924" t="s">
        <v>74</v>
      </c>
      <c r="V924" t="s">
        <v>74</v>
      </c>
      <c r="W924" t="s">
        <v>12163</v>
      </c>
      <c r="X924" t="s">
        <v>7215</v>
      </c>
      <c r="Y924" t="s">
        <v>12164</v>
      </c>
      <c r="Z924" t="s">
        <v>74</v>
      </c>
      <c r="AA924" t="s">
        <v>74</v>
      </c>
      <c r="AB924" t="s">
        <v>74</v>
      </c>
      <c r="AC924" t="s">
        <v>74</v>
      </c>
      <c r="AD924" t="s">
        <v>74</v>
      </c>
      <c r="AE924" t="s">
        <v>74</v>
      </c>
      <c r="AF924" t="s">
        <v>74</v>
      </c>
      <c r="AG924">
        <v>1</v>
      </c>
      <c r="AH924">
        <v>0</v>
      </c>
      <c r="AI924">
        <v>0</v>
      </c>
      <c r="AJ924">
        <v>0</v>
      </c>
      <c r="AK924">
        <v>2</v>
      </c>
      <c r="AL924" t="s">
        <v>5420</v>
      </c>
      <c r="AM924" t="s">
        <v>5421</v>
      </c>
      <c r="AN924" t="s">
        <v>5422</v>
      </c>
      <c r="AO924" t="s">
        <v>5423</v>
      </c>
      <c r="AP924" t="s">
        <v>74</v>
      </c>
      <c r="AQ924" t="s">
        <v>74</v>
      </c>
      <c r="AR924" t="s">
        <v>5424</v>
      </c>
      <c r="AS924" t="s">
        <v>5425</v>
      </c>
      <c r="AT924" t="s">
        <v>11711</v>
      </c>
      <c r="AU924">
        <v>2000</v>
      </c>
      <c r="AV924">
        <v>22</v>
      </c>
      <c r="AW924">
        <v>2</v>
      </c>
      <c r="AX924" t="s">
        <v>74</v>
      </c>
      <c r="AY924" t="s">
        <v>74</v>
      </c>
      <c r="AZ924" t="s">
        <v>74</v>
      </c>
      <c r="BA924" t="s">
        <v>74</v>
      </c>
      <c r="BB924">
        <v>491</v>
      </c>
      <c r="BC924">
        <v>492</v>
      </c>
      <c r="BD924" t="s">
        <v>74</v>
      </c>
      <c r="BE924" t="s">
        <v>74</v>
      </c>
      <c r="BF924" t="s">
        <v>74</v>
      </c>
      <c r="BG924" t="s">
        <v>74</v>
      </c>
      <c r="BH924" t="s">
        <v>74</v>
      </c>
      <c r="BI924">
        <v>2</v>
      </c>
      <c r="BJ924" t="s">
        <v>5426</v>
      </c>
      <c r="BK924" t="s">
        <v>5427</v>
      </c>
      <c r="BL924" t="s">
        <v>5426</v>
      </c>
      <c r="BM924" t="s">
        <v>12165</v>
      </c>
      <c r="BN924" t="s">
        <v>74</v>
      </c>
      <c r="BO924" t="s">
        <v>74</v>
      </c>
      <c r="BP924" t="s">
        <v>74</v>
      </c>
      <c r="BQ924" t="s">
        <v>74</v>
      </c>
      <c r="BR924" t="s">
        <v>97</v>
      </c>
      <c r="BS924" t="s">
        <v>12166</v>
      </c>
      <c r="BT924" t="str">
        <f>HYPERLINK("https%3A%2F%2Fwww.webofscience.com%2Fwos%2Fwoscc%2Ffull-record%2FWOS:000087977600074","View Full Record in Web of Science")</f>
        <v>View Full Record in Web of Science</v>
      </c>
    </row>
    <row r="925" spans="1:72" x14ac:dyDescent="0.15">
      <c r="A925" t="s">
        <v>72</v>
      </c>
      <c r="B925" t="s">
        <v>12167</v>
      </c>
      <c r="C925" t="s">
        <v>74</v>
      </c>
      <c r="D925" t="s">
        <v>74</v>
      </c>
      <c r="E925" t="s">
        <v>74</v>
      </c>
      <c r="F925" t="s">
        <v>12167</v>
      </c>
      <c r="G925" t="s">
        <v>74</v>
      </c>
      <c r="H925" t="s">
        <v>74</v>
      </c>
      <c r="I925" t="s">
        <v>12168</v>
      </c>
      <c r="J925" t="s">
        <v>12169</v>
      </c>
      <c r="K925" t="s">
        <v>74</v>
      </c>
      <c r="L925" t="s">
        <v>74</v>
      </c>
      <c r="M925" t="s">
        <v>77</v>
      </c>
      <c r="N925" t="s">
        <v>52</v>
      </c>
      <c r="O925" t="s">
        <v>74</v>
      </c>
      <c r="P925" t="s">
        <v>74</v>
      </c>
      <c r="Q925" t="s">
        <v>74</v>
      </c>
      <c r="R925" t="s">
        <v>74</v>
      </c>
      <c r="S925" t="s">
        <v>74</v>
      </c>
      <c r="T925" t="s">
        <v>74</v>
      </c>
      <c r="U925" t="s">
        <v>74</v>
      </c>
      <c r="V925" t="s">
        <v>74</v>
      </c>
      <c r="W925" t="s">
        <v>12170</v>
      </c>
      <c r="X925" t="s">
        <v>12171</v>
      </c>
      <c r="Y925" t="s">
        <v>74</v>
      </c>
      <c r="Z925" t="s">
        <v>74</v>
      </c>
      <c r="AA925" t="s">
        <v>74</v>
      </c>
      <c r="AB925" t="s">
        <v>74</v>
      </c>
      <c r="AC925" t="s">
        <v>74</v>
      </c>
      <c r="AD925" t="s">
        <v>74</v>
      </c>
      <c r="AE925" t="s">
        <v>74</v>
      </c>
      <c r="AF925" t="s">
        <v>74</v>
      </c>
      <c r="AG925">
        <v>0</v>
      </c>
      <c r="AH925">
        <v>1</v>
      </c>
      <c r="AI925">
        <v>1</v>
      </c>
      <c r="AJ925">
        <v>0</v>
      </c>
      <c r="AK925">
        <v>0</v>
      </c>
      <c r="AL925" t="s">
        <v>12172</v>
      </c>
      <c r="AM925" t="s">
        <v>12173</v>
      </c>
      <c r="AN925" t="s">
        <v>12174</v>
      </c>
      <c r="AO925" t="s">
        <v>12175</v>
      </c>
      <c r="AP925" t="s">
        <v>74</v>
      </c>
      <c r="AQ925" t="s">
        <v>74</v>
      </c>
      <c r="AR925" t="s">
        <v>12176</v>
      </c>
      <c r="AS925" t="s">
        <v>12177</v>
      </c>
      <c r="AT925" t="s">
        <v>12178</v>
      </c>
      <c r="AU925">
        <v>2000</v>
      </c>
      <c r="AV925">
        <v>35</v>
      </c>
      <c r="AW925" t="s">
        <v>1046</v>
      </c>
      <c r="AX925" t="s">
        <v>74</v>
      </c>
      <c r="AY925" t="s">
        <v>74</v>
      </c>
      <c r="AZ925" t="s">
        <v>2736</v>
      </c>
      <c r="BA925" t="s">
        <v>74</v>
      </c>
      <c r="BB925">
        <v>326</v>
      </c>
      <c r="BC925">
        <v>326</v>
      </c>
      <c r="BD925" t="s">
        <v>74</v>
      </c>
      <c r="BE925" t="s">
        <v>74</v>
      </c>
      <c r="BF925" t="s">
        <v>74</v>
      </c>
      <c r="BG925" t="s">
        <v>74</v>
      </c>
      <c r="BH925" t="s">
        <v>74</v>
      </c>
      <c r="BI925">
        <v>1</v>
      </c>
      <c r="BJ925" t="s">
        <v>12179</v>
      </c>
      <c r="BK925" t="s">
        <v>657</v>
      </c>
      <c r="BL925" t="s">
        <v>8037</v>
      </c>
      <c r="BM925" t="s">
        <v>12180</v>
      </c>
      <c r="BN925" t="s">
        <v>74</v>
      </c>
      <c r="BO925" t="s">
        <v>74</v>
      </c>
      <c r="BP925" t="s">
        <v>74</v>
      </c>
      <c r="BQ925" t="s">
        <v>74</v>
      </c>
      <c r="BR925" t="s">
        <v>97</v>
      </c>
      <c r="BS925" t="s">
        <v>12181</v>
      </c>
      <c r="BT925" t="str">
        <f>HYPERLINK("https%3A%2F%2Fwww.webofscience.com%2Fwos%2Fwoscc%2Ffull-record%2FWOS:000088388803185","View Full Record in Web of Science")</f>
        <v>View Full Record in Web of Science</v>
      </c>
    </row>
    <row r="926" spans="1:72" x14ac:dyDescent="0.15">
      <c r="A926" t="s">
        <v>72</v>
      </c>
      <c r="B926" t="s">
        <v>12182</v>
      </c>
      <c r="C926" t="s">
        <v>74</v>
      </c>
      <c r="D926" t="s">
        <v>74</v>
      </c>
      <c r="E926" t="s">
        <v>74</v>
      </c>
      <c r="F926" t="s">
        <v>12182</v>
      </c>
      <c r="G926" t="s">
        <v>74</v>
      </c>
      <c r="H926" t="s">
        <v>74</v>
      </c>
      <c r="I926" t="s">
        <v>12183</v>
      </c>
      <c r="J926" t="s">
        <v>12184</v>
      </c>
      <c r="K926" t="s">
        <v>74</v>
      </c>
      <c r="L926" t="s">
        <v>74</v>
      </c>
      <c r="M926" t="s">
        <v>77</v>
      </c>
      <c r="N926" t="s">
        <v>5419</v>
      </c>
      <c r="O926" t="s">
        <v>74</v>
      </c>
      <c r="P926" t="s">
        <v>74</v>
      </c>
      <c r="Q926" t="s">
        <v>74</v>
      </c>
      <c r="R926" t="s">
        <v>74</v>
      </c>
      <c r="S926" t="s">
        <v>74</v>
      </c>
      <c r="T926" t="s">
        <v>74</v>
      </c>
      <c r="U926" t="s">
        <v>74</v>
      </c>
      <c r="V926" t="s">
        <v>74</v>
      </c>
      <c r="W926" t="s">
        <v>12185</v>
      </c>
      <c r="X926" t="s">
        <v>1734</v>
      </c>
      <c r="Y926" t="s">
        <v>12186</v>
      </c>
      <c r="Z926" t="s">
        <v>74</v>
      </c>
      <c r="AA926" t="s">
        <v>74</v>
      </c>
      <c r="AB926" t="s">
        <v>74</v>
      </c>
      <c r="AC926" t="s">
        <v>74</v>
      </c>
      <c r="AD926" t="s">
        <v>74</v>
      </c>
      <c r="AE926" t="s">
        <v>74</v>
      </c>
      <c r="AF926" t="s">
        <v>74</v>
      </c>
      <c r="AG926">
        <v>1</v>
      </c>
      <c r="AH926">
        <v>0</v>
      </c>
      <c r="AI926">
        <v>0</v>
      </c>
      <c r="AJ926">
        <v>0</v>
      </c>
      <c r="AK926">
        <v>0</v>
      </c>
      <c r="AL926" t="s">
        <v>2132</v>
      </c>
      <c r="AM926" t="s">
        <v>2133</v>
      </c>
      <c r="AN926" t="s">
        <v>12187</v>
      </c>
      <c r="AO926" t="s">
        <v>12188</v>
      </c>
      <c r="AP926" t="s">
        <v>74</v>
      </c>
      <c r="AQ926" t="s">
        <v>74</v>
      </c>
      <c r="AR926" t="s">
        <v>12184</v>
      </c>
      <c r="AS926" t="s">
        <v>12189</v>
      </c>
      <c r="AT926" t="s">
        <v>11711</v>
      </c>
      <c r="AU926">
        <v>2000</v>
      </c>
      <c r="AV926">
        <v>91</v>
      </c>
      <c r="AW926">
        <v>2</v>
      </c>
      <c r="AX926" t="s">
        <v>74</v>
      </c>
      <c r="AY926" t="s">
        <v>74</v>
      </c>
      <c r="AZ926" t="s">
        <v>74</v>
      </c>
      <c r="BA926" t="s">
        <v>74</v>
      </c>
      <c r="BB926">
        <v>413</v>
      </c>
      <c r="BC926">
        <v>414</v>
      </c>
      <c r="BD926" t="s">
        <v>74</v>
      </c>
      <c r="BE926" t="s">
        <v>12190</v>
      </c>
      <c r="BF926" t="str">
        <f>HYPERLINK("http://dx.doi.org/10.1086/384829","http://dx.doi.org/10.1086/384829")</f>
        <v>http://dx.doi.org/10.1086/384829</v>
      </c>
      <c r="BG926" t="s">
        <v>74</v>
      </c>
      <c r="BH926" t="s">
        <v>74</v>
      </c>
      <c r="BI926">
        <v>2</v>
      </c>
      <c r="BJ926" t="s">
        <v>12191</v>
      </c>
      <c r="BK926" t="s">
        <v>9813</v>
      </c>
      <c r="BL926" t="s">
        <v>12192</v>
      </c>
      <c r="BM926" t="s">
        <v>12193</v>
      </c>
      <c r="BN926" t="s">
        <v>74</v>
      </c>
      <c r="BO926" t="s">
        <v>74</v>
      </c>
      <c r="BP926" t="s">
        <v>74</v>
      </c>
      <c r="BQ926" t="s">
        <v>74</v>
      </c>
      <c r="BR926" t="s">
        <v>97</v>
      </c>
      <c r="BS926" t="s">
        <v>12194</v>
      </c>
      <c r="BT926" t="str">
        <f>HYPERLINK("https%3A%2F%2Fwww.webofscience.com%2Fwos%2Fwoscc%2Ffull-record%2FWOS:000088729400122","View Full Record in Web of Science")</f>
        <v>View Full Record in Web of Science</v>
      </c>
    </row>
    <row r="927" spans="1:72" x14ac:dyDescent="0.15">
      <c r="A927" t="s">
        <v>72</v>
      </c>
      <c r="B927" t="s">
        <v>12195</v>
      </c>
      <c r="C927" t="s">
        <v>74</v>
      </c>
      <c r="D927" t="s">
        <v>74</v>
      </c>
      <c r="E927" t="s">
        <v>74</v>
      </c>
      <c r="F927" t="s">
        <v>12195</v>
      </c>
      <c r="G927" t="s">
        <v>74</v>
      </c>
      <c r="H927" t="s">
        <v>74</v>
      </c>
      <c r="I927" t="s">
        <v>12196</v>
      </c>
      <c r="J927" t="s">
        <v>12197</v>
      </c>
      <c r="K927" t="s">
        <v>74</v>
      </c>
      <c r="L927" t="s">
        <v>74</v>
      </c>
      <c r="M927" t="s">
        <v>77</v>
      </c>
      <c r="N927" t="s">
        <v>78</v>
      </c>
      <c r="O927" t="s">
        <v>74</v>
      </c>
      <c r="P927" t="s">
        <v>74</v>
      </c>
      <c r="Q927" t="s">
        <v>74</v>
      </c>
      <c r="R927" t="s">
        <v>74</v>
      </c>
      <c r="S927" t="s">
        <v>74</v>
      </c>
      <c r="T927" t="s">
        <v>74</v>
      </c>
      <c r="U927" t="s">
        <v>12198</v>
      </c>
      <c r="V927" t="s">
        <v>12199</v>
      </c>
      <c r="W927" t="s">
        <v>12200</v>
      </c>
      <c r="X927" t="s">
        <v>12201</v>
      </c>
      <c r="Y927" t="s">
        <v>12202</v>
      </c>
      <c r="Z927" t="s">
        <v>74</v>
      </c>
      <c r="AA927" t="s">
        <v>74</v>
      </c>
      <c r="AB927" t="s">
        <v>74</v>
      </c>
      <c r="AC927" t="s">
        <v>74</v>
      </c>
      <c r="AD927" t="s">
        <v>74</v>
      </c>
      <c r="AE927" t="s">
        <v>74</v>
      </c>
      <c r="AF927" t="s">
        <v>74</v>
      </c>
      <c r="AG927">
        <v>25</v>
      </c>
      <c r="AH927">
        <v>3</v>
      </c>
      <c r="AI927">
        <v>3</v>
      </c>
      <c r="AJ927">
        <v>0</v>
      </c>
      <c r="AK927">
        <v>1</v>
      </c>
      <c r="AL927" t="s">
        <v>1007</v>
      </c>
      <c r="AM927" t="s">
        <v>160</v>
      </c>
      <c r="AN927" t="s">
        <v>1008</v>
      </c>
      <c r="AO927" t="s">
        <v>12203</v>
      </c>
      <c r="AP927" t="s">
        <v>12204</v>
      </c>
      <c r="AQ927" t="s">
        <v>74</v>
      </c>
      <c r="AR927" t="s">
        <v>12205</v>
      </c>
      <c r="AS927" t="s">
        <v>12206</v>
      </c>
      <c r="AT927" t="s">
        <v>11711</v>
      </c>
      <c r="AU927">
        <v>2000</v>
      </c>
      <c r="AV927">
        <v>36</v>
      </c>
      <c r="AW927">
        <v>6</v>
      </c>
      <c r="AX927" t="s">
        <v>74</v>
      </c>
      <c r="AY927" t="s">
        <v>74</v>
      </c>
      <c r="AZ927" t="s">
        <v>74</v>
      </c>
      <c r="BA927" t="s">
        <v>74</v>
      </c>
      <c r="BB927">
        <v>460</v>
      </c>
      <c r="BC927">
        <v>467</v>
      </c>
      <c r="BD927" t="s">
        <v>74</v>
      </c>
      <c r="BE927" t="s">
        <v>74</v>
      </c>
      <c r="BF927" t="s">
        <v>74</v>
      </c>
      <c r="BG927" t="s">
        <v>74</v>
      </c>
      <c r="BH927" t="s">
        <v>74</v>
      </c>
      <c r="BI927">
        <v>8</v>
      </c>
      <c r="BJ927" t="s">
        <v>953</v>
      </c>
      <c r="BK927" t="s">
        <v>94</v>
      </c>
      <c r="BL927" t="s">
        <v>953</v>
      </c>
      <c r="BM927" t="s">
        <v>12207</v>
      </c>
      <c r="BN927" t="s">
        <v>74</v>
      </c>
      <c r="BO927" t="s">
        <v>74</v>
      </c>
      <c r="BP927" t="s">
        <v>74</v>
      </c>
      <c r="BQ927" t="s">
        <v>74</v>
      </c>
      <c r="BR927" t="s">
        <v>97</v>
      </c>
      <c r="BS927" t="s">
        <v>12208</v>
      </c>
      <c r="BT927" t="str">
        <f>HYPERLINK("https%3A%2F%2Fwww.webofscience.com%2Fwos%2Fwoscc%2Ffull-record%2FWOS:000089135900003","View Full Record in Web of Science")</f>
        <v>View Full Record in Web of Science</v>
      </c>
    </row>
    <row r="928" spans="1:72" x14ac:dyDescent="0.15">
      <c r="A928" t="s">
        <v>72</v>
      </c>
      <c r="B928" t="s">
        <v>12209</v>
      </c>
      <c r="C928" t="s">
        <v>74</v>
      </c>
      <c r="D928" t="s">
        <v>74</v>
      </c>
      <c r="E928" t="s">
        <v>74</v>
      </c>
      <c r="F928" t="s">
        <v>12209</v>
      </c>
      <c r="G928" t="s">
        <v>74</v>
      </c>
      <c r="H928" t="s">
        <v>74</v>
      </c>
      <c r="I928" t="s">
        <v>12210</v>
      </c>
      <c r="J928" t="s">
        <v>1911</v>
      </c>
      <c r="K928" t="s">
        <v>74</v>
      </c>
      <c r="L928" t="s">
        <v>74</v>
      </c>
      <c r="M928" t="s">
        <v>77</v>
      </c>
      <c r="N928" t="s">
        <v>78</v>
      </c>
      <c r="O928" t="s">
        <v>74</v>
      </c>
      <c r="P928" t="s">
        <v>74</v>
      </c>
      <c r="Q928" t="s">
        <v>74</v>
      </c>
      <c r="R928" t="s">
        <v>74</v>
      </c>
      <c r="S928" t="s">
        <v>74</v>
      </c>
      <c r="T928" t="s">
        <v>74</v>
      </c>
      <c r="U928" t="s">
        <v>12211</v>
      </c>
      <c r="V928" t="s">
        <v>12212</v>
      </c>
      <c r="W928" t="s">
        <v>12213</v>
      </c>
      <c r="X928" t="s">
        <v>12214</v>
      </c>
      <c r="Y928" t="s">
        <v>12215</v>
      </c>
      <c r="Z928" t="s">
        <v>74</v>
      </c>
      <c r="AA928" t="s">
        <v>12216</v>
      </c>
      <c r="AB928" t="s">
        <v>12217</v>
      </c>
      <c r="AC928" t="s">
        <v>74</v>
      </c>
      <c r="AD928" t="s">
        <v>74</v>
      </c>
      <c r="AE928" t="s">
        <v>74</v>
      </c>
      <c r="AF928" t="s">
        <v>74</v>
      </c>
      <c r="AG928">
        <v>46</v>
      </c>
      <c r="AH928">
        <v>3</v>
      </c>
      <c r="AI928">
        <v>3</v>
      </c>
      <c r="AJ928">
        <v>0</v>
      </c>
      <c r="AK928">
        <v>2</v>
      </c>
      <c r="AL928" t="s">
        <v>245</v>
      </c>
      <c r="AM928" t="s">
        <v>246</v>
      </c>
      <c r="AN928" t="s">
        <v>247</v>
      </c>
      <c r="AO928" t="s">
        <v>1918</v>
      </c>
      <c r="AP928" t="s">
        <v>74</v>
      </c>
      <c r="AQ928" t="s">
        <v>74</v>
      </c>
      <c r="AR928" t="s">
        <v>1919</v>
      </c>
      <c r="AS928" t="s">
        <v>1920</v>
      </c>
      <c r="AT928" t="s">
        <v>11711</v>
      </c>
      <c r="AU928">
        <v>2000</v>
      </c>
      <c r="AV928">
        <v>62</v>
      </c>
      <c r="AW928">
        <v>9</v>
      </c>
      <c r="AX928" t="s">
        <v>74</v>
      </c>
      <c r="AY928" t="s">
        <v>74</v>
      </c>
      <c r="AZ928" t="s">
        <v>74</v>
      </c>
      <c r="BA928" t="s">
        <v>74</v>
      </c>
      <c r="BB928">
        <v>713</v>
      </c>
      <c r="BC928">
        <v>723</v>
      </c>
      <c r="BD928" t="s">
        <v>74</v>
      </c>
      <c r="BE928" t="s">
        <v>12218</v>
      </c>
      <c r="BF928" t="str">
        <f>HYPERLINK("http://dx.doi.org/10.1016/S1364-6826(00)00061-4","http://dx.doi.org/10.1016/S1364-6826(00)00061-4")</f>
        <v>http://dx.doi.org/10.1016/S1364-6826(00)00061-4</v>
      </c>
      <c r="BG928" t="s">
        <v>74</v>
      </c>
      <c r="BH928" t="s">
        <v>74</v>
      </c>
      <c r="BI928">
        <v>11</v>
      </c>
      <c r="BJ928" t="s">
        <v>1085</v>
      </c>
      <c r="BK928" t="s">
        <v>94</v>
      </c>
      <c r="BL928" t="s">
        <v>1085</v>
      </c>
      <c r="BM928" t="s">
        <v>12219</v>
      </c>
      <c r="BN928" t="s">
        <v>74</v>
      </c>
      <c r="BO928" t="s">
        <v>74</v>
      </c>
      <c r="BP928" t="s">
        <v>74</v>
      </c>
      <c r="BQ928" t="s">
        <v>74</v>
      </c>
      <c r="BR928" t="s">
        <v>97</v>
      </c>
      <c r="BS928" t="s">
        <v>12220</v>
      </c>
      <c r="BT928" t="str">
        <f>HYPERLINK("https%3A%2F%2Fwww.webofscience.com%2Fwos%2Fwoscc%2Ffull-record%2FWOS:000088751900001","View Full Record in Web of Science")</f>
        <v>View Full Record in Web of Science</v>
      </c>
    </row>
    <row r="929" spans="1:72" x14ac:dyDescent="0.15">
      <c r="A929" t="s">
        <v>72</v>
      </c>
      <c r="B929" t="s">
        <v>12221</v>
      </c>
      <c r="C929" t="s">
        <v>74</v>
      </c>
      <c r="D929" t="s">
        <v>74</v>
      </c>
      <c r="E929" t="s">
        <v>74</v>
      </c>
      <c r="F929" t="s">
        <v>12221</v>
      </c>
      <c r="G929" t="s">
        <v>74</v>
      </c>
      <c r="H929" t="s">
        <v>74</v>
      </c>
      <c r="I929" t="s">
        <v>12222</v>
      </c>
      <c r="J929" t="s">
        <v>1911</v>
      </c>
      <c r="K929" t="s">
        <v>74</v>
      </c>
      <c r="L929" t="s">
        <v>74</v>
      </c>
      <c r="M929" t="s">
        <v>77</v>
      </c>
      <c r="N929" t="s">
        <v>78</v>
      </c>
      <c r="O929" t="s">
        <v>74</v>
      </c>
      <c r="P929" t="s">
        <v>74</v>
      </c>
      <c r="Q929" t="s">
        <v>74</v>
      </c>
      <c r="R929" t="s">
        <v>74</v>
      </c>
      <c r="S929" t="s">
        <v>74</v>
      </c>
      <c r="T929" t="s">
        <v>74</v>
      </c>
      <c r="U929" t="s">
        <v>12223</v>
      </c>
      <c r="V929" t="s">
        <v>12224</v>
      </c>
      <c r="W929" t="s">
        <v>3768</v>
      </c>
      <c r="X929" t="s">
        <v>2468</v>
      </c>
      <c r="Y929" t="s">
        <v>12225</v>
      </c>
      <c r="Z929" t="s">
        <v>74</v>
      </c>
      <c r="AA929" t="s">
        <v>74</v>
      </c>
      <c r="AB929" t="s">
        <v>74</v>
      </c>
      <c r="AC929" t="s">
        <v>74</v>
      </c>
      <c r="AD929" t="s">
        <v>74</v>
      </c>
      <c r="AE929" t="s">
        <v>74</v>
      </c>
      <c r="AF929" t="s">
        <v>74</v>
      </c>
      <c r="AG929">
        <v>30</v>
      </c>
      <c r="AH929">
        <v>21</v>
      </c>
      <c r="AI929">
        <v>21</v>
      </c>
      <c r="AJ929">
        <v>0</v>
      </c>
      <c r="AK929">
        <v>3</v>
      </c>
      <c r="AL929" t="s">
        <v>245</v>
      </c>
      <c r="AM929" t="s">
        <v>246</v>
      </c>
      <c r="AN929" t="s">
        <v>247</v>
      </c>
      <c r="AO929" t="s">
        <v>1918</v>
      </c>
      <c r="AP929" t="s">
        <v>74</v>
      </c>
      <c r="AQ929" t="s">
        <v>74</v>
      </c>
      <c r="AR929" t="s">
        <v>1919</v>
      </c>
      <c r="AS929" t="s">
        <v>1920</v>
      </c>
      <c r="AT929" t="s">
        <v>11711</v>
      </c>
      <c r="AU929">
        <v>2000</v>
      </c>
      <c r="AV929">
        <v>62</v>
      </c>
      <c r="AW929">
        <v>9</v>
      </c>
      <c r="AX929" t="s">
        <v>74</v>
      </c>
      <c r="AY929" t="s">
        <v>74</v>
      </c>
      <c r="AZ929" t="s">
        <v>74</v>
      </c>
      <c r="BA929" t="s">
        <v>74</v>
      </c>
      <c r="BB929">
        <v>725</v>
      </c>
      <c r="BC929">
        <v>735</v>
      </c>
      <c r="BD929" t="s">
        <v>74</v>
      </c>
      <c r="BE929" t="s">
        <v>12226</v>
      </c>
      <c r="BF929" t="str">
        <f>HYPERLINK("http://dx.doi.org/10.1016/S1364-6826(00)00063-8","http://dx.doi.org/10.1016/S1364-6826(00)00063-8")</f>
        <v>http://dx.doi.org/10.1016/S1364-6826(00)00063-8</v>
      </c>
      <c r="BG929" t="s">
        <v>74</v>
      </c>
      <c r="BH929" t="s">
        <v>74</v>
      </c>
      <c r="BI929">
        <v>11</v>
      </c>
      <c r="BJ929" t="s">
        <v>1085</v>
      </c>
      <c r="BK929" t="s">
        <v>94</v>
      </c>
      <c r="BL929" t="s">
        <v>1085</v>
      </c>
      <c r="BM929" t="s">
        <v>12219</v>
      </c>
      <c r="BN929" t="s">
        <v>74</v>
      </c>
      <c r="BO929" t="s">
        <v>74</v>
      </c>
      <c r="BP929" t="s">
        <v>74</v>
      </c>
      <c r="BQ929" t="s">
        <v>74</v>
      </c>
      <c r="BR929" t="s">
        <v>97</v>
      </c>
      <c r="BS929" t="s">
        <v>12227</v>
      </c>
      <c r="BT929" t="str">
        <f>HYPERLINK("https%3A%2F%2Fwww.webofscience.com%2Fwos%2Fwoscc%2Ffull-record%2FWOS:000088751900002","View Full Record in Web of Science")</f>
        <v>View Full Record in Web of Science</v>
      </c>
    </row>
    <row r="930" spans="1:72" x14ac:dyDescent="0.15">
      <c r="A930" t="s">
        <v>72</v>
      </c>
      <c r="B930" t="s">
        <v>12228</v>
      </c>
      <c r="C930" t="s">
        <v>74</v>
      </c>
      <c r="D930" t="s">
        <v>74</v>
      </c>
      <c r="E930" t="s">
        <v>74</v>
      </c>
      <c r="F930" t="s">
        <v>12228</v>
      </c>
      <c r="G930" t="s">
        <v>74</v>
      </c>
      <c r="H930" t="s">
        <v>74</v>
      </c>
      <c r="I930" t="s">
        <v>12229</v>
      </c>
      <c r="J930" t="s">
        <v>1947</v>
      </c>
      <c r="K930" t="s">
        <v>74</v>
      </c>
      <c r="L930" t="s">
        <v>74</v>
      </c>
      <c r="M930" t="s">
        <v>77</v>
      </c>
      <c r="N930" t="s">
        <v>78</v>
      </c>
      <c r="O930" t="s">
        <v>74</v>
      </c>
      <c r="P930" t="s">
        <v>74</v>
      </c>
      <c r="Q930" t="s">
        <v>74</v>
      </c>
      <c r="R930" t="s">
        <v>74</v>
      </c>
      <c r="S930" t="s">
        <v>74</v>
      </c>
      <c r="T930" t="s">
        <v>74</v>
      </c>
      <c r="U930" t="s">
        <v>12230</v>
      </c>
      <c r="V930" t="s">
        <v>12231</v>
      </c>
      <c r="W930" t="s">
        <v>12232</v>
      </c>
      <c r="X930" t="s">
        <v>1442</v>
      </c>
      <c r="Y930" t="s">
        <v>12233</v>
      </c>
      <c r="Z930" t="s">
        <v>74</v>
      </c>
      <c r="AA930" t="s">
        <v>2018</v>
      </c>
      <c r="AB930" t="s">
        <v>2019</v>
      </c>
      <c r="AC930" t="s">
        <v>74</v>
      </c>
      <c r="AD930" t="s">
        <v>74</v>
      </c>
      <c r="AE930" t="s">
        <v>74</v>
      </c>
      <c r="AF930" t="s">
        <v>74</v>
      </c>
      <c r="AG930">
        <v>15</v>
      </c>
      <c r="AH930">
        <v>28</v>
      </c>
      <c r="AI930">
        <v>30</v>
      </c>
      <c r="AJ930">
        <v>0</v>
      </c>
      <c r="AK930">
        <v>4</v>
      </c>
      <c r="AL930" t="s">
        <v>1842</v>
      </c>
      <c r="AM930" t="s">
        <v>1843</v>
      </c>
      <c r="AN930" t="s">
        <v>1844</v>
      </c>
      <c r="AO930" t="s">
        <v>1951</v>
      </c>
      <c r="AP930" t="s">
        <v>74</v>
      </c>
      <c r="AQ930" t="s">
        <v>74</v>
      </c>
      <c r="AR930" t="s">
        <v>1952</v>
      </c>
      <c r="AS930" t="s">
        <v>1953</v>
      </c>
      <c r="AT930" t="s">
        <v>12142</v>
      </c>
      <c r="AU930">
        <v>2000</v>
      </c>
      <c r="AV930">
        <v>13</v>
      </c>
      <c r="AW930">
        <v>11</v>
      </c>
      <c r="AX930" t="s">
        <v>74</v>
      </c>
      <c r="AY930" t="s">
        <v>74</v>
      </c>
      <c r="AZ930" t="s">
        <v>74</v>
      </c>
      <c r="BA930" t="s">
        <v>74</v>
      </c>
      <c r="BB930">
        <v>1831</v>
      </c>
      <c r="BC930">
        <v>1844</v>
      </c>
      <c r="BD930" t="s">
        <v>74</v>
      </c>
      <c r="BE930" t="s">
        <v>12234</v>
      </c>
      <c r="BF930" t="str">
        <f>HYPERLINK("http://dx.doi.org/10.1175/1520-0442(2000)013&lt;1831:AOAIIM&gt;2.0.CO;2","http://dx.doi.org/10.1175/1520-0442(2000)013&lt;1831:AOAIIM&gt;2.0.CO;2")</f>
        <v>http://dx.doi.org/10.1175/1520-0442(2000)013&lt;1831:AOAIIM&gt;2.0.CO;2</v>
      </c>
      <c r="BG930" t="s">
        <v>74</v>
      </c>
      <c r="BH930" t="s">
        <v>74</v>
      </c>
      <c r="BI930">
        <v>14</v>
      </c>
      <c r="BJ930" t="s">
        <v>167</v>
      </c>
      <c r="BK930" t="s">
        <v>94</v>
      </c>
      <c r="BL930" t="s">
        <v>167</v>
      </c>
      <c r="BM930" t="s">
        <v>12235</v>
      </c>
      <c r="BN930" t="s">
        <v>74</v>
      </c>
      <c r="BO930" t="s">
        <v>1850</v>
      </c>
      <c r="BP930" t="s">
        <v>74</v>
      </c>
      <c r="BQ930" t="s">
        <v>74</v>
      </c>
      <c r="BR930" t="s">
        <v>97</v>
      </c>
      <c r="BS930" t="s">
        <v>12236</v>
      </c>
      <c r="BT930" t="str">
        <f>HYPERLINK("https%3A%2F%2Fwww.webofscience.com%2Fwos%2Fwoscc%2Ffull-record%2FWOS:000087532800003","View Full Record in Web of Science")</f>
        <v>View Full Record in Web of Science</v>
      </c>
    </row>
    <row r="931" spans="1:72" x14ac:dyDescent="0.15">
      <c r="A931" t="s">
        <v>72</v>
      </c>
      <c r="B931" t="s">
        <v>12237</v>
      </c>
      <c r="C931" t="s">
        <v>74</v>
      </c>
      <c r="D931" t="s">
        <v>74</v>
      </c>
      <c r="E931" t="s">
        <v>74</v>
      </c>
      <c r="F931" t="s">
        <v>12237</v>
      </c>
      <c r="G931" t="s">
        <v>74</v>
      </c>
      <c r="H931" t="s">
        <v>74</v>
      </c>
      <c r="I931" t="s">
        <v>12238</v>
      </c>
      <c r="J931" t="s">
        <v>12239</v>
      </c>
      <c r="K931" t="s">
        <v>74</v>
      </c>
      <c r="L931" t="s">
        <v>74</v>
      </c>
      <c r="M931" t="s">
        <v>77</v>
      </c>
      <c r="N931" t="s">
        <v>78</v>
      </c>
      <c r="O931" t="s">
        <v>74</v>
      </c>
      <c r="P931" t="s">
        <v>74</v>
      </c>
      <c r="Q931" t="s">
        <v>74</v>
      </c>
      <c r="R931" t="s">
        <v>74</v>
      </c>
      <c r="S931" t="s">
        <v>74</v>
      </c>
      <c r="T931" t="s">
        <v>12240</v>
      </c>
      <c r="U931" t="s">
        <v>12241</v>
      </c>
      <c r="V931" t="s">
        <v>12242</v>
      </c>
      <c r="W931" t="s">
        <v>3323</v>
      </c>
      <c r="X931" t="s">
        <v>3324</v>
      </c>
      <c r="Y931" t="s">
        <v>12243</v>
      </c>
      <c r="Z931" t="s">
        <v>74</v>
      </c>
      <c r="AA931" t="s">
        <v>74</v>
      </c>
      <c r="AB931" t="s">
        <v>74</v>
      </c>
      <c r="AC931" t="s">
        <v>74</v>
      </c>
      <c r="AD931" t="s">
        <v>74</v>
      </c>
      <c r="AE931" t="s">
        <v>74</v>
      </c>
      <c r="AF931" t="s">
        <v>74</v>
      </c>
      <c r="AG931">
        <v>78</v>
      </c>
      <c r="AH931">
        <v>52</v>
      </c>
      <c r="AI931">
        <v>58</v>
      </c>
      <c r="AJ931">
        <v>0</v>
      </c>
      <c r="AK931">
        <v>9</v>
      </c>
      <c r="AL931" t="s">
        <v>12244</v>
      </c>
      <c r="AM931" t="s">
        <v>5031</v>
      </c>
      <c r="AN931" t="s">
        <v>12245</v>
      </c>
      <c r="AO931" t="s">
        <v>12246</v>
      </c>
      <c r="AP931" t="s">
        <v>74</v>
      </c>
      <c r="AQ931" t="s">
        <v>74</v>
      </c>
      <c r="AR931" t="s">
        <v>12247</v>
      </c>
      <c r="AS931" t="s">
        <v>12248</v>
      </c>
      <c r="AT931" t="s">
        <v>11692</v>
      </c>
      <c r="AU931">
        <v>2000</v>
      </c>
      <c r="AV931">
        <v>16</v>
      </c>
      <c r="AW931">
        <v>3</v>
      </c>
      <c r="AX931" t="s">
        <v>74</v>
      </c>
      <c r="AY931" t="s">
        <v>74</v>
      </c>
      <c r="AZ931" t="s">
        <v>74</v>
      </c>
      <c r="BA931" t="s">
        <v>74</v>
      </c>
      <c r="BB931">
        <v>735</v>
      </c>
      <c r="BC931">
        <v>746</v>
      </c>
      <c r="BD931" t="s">
        <v>74</v>
      </c>
      <c r="BE931" t="s">
        <v>74</v>
      </c>
      <c r="BF931" t="s">
        <v>74</v>
      </c>
      <c r="BG931" t="s">
        <v>74</v>
      </c>
      <c r="BH931" t="s">
        <v>74</v>
      </c>
      <c r="BI931">
        <v>12</v>
      </c>
      <c r="BJ931" t="s">
        <v>5090</v>
      </c>
      <c r="BK931" t="s">
        <v>94</v>
      </c>
      <c r="BL931" t="s">
        <v>5091</v>
      </c>
      <c r="BM931" t="s">
        <v>12249</v>
      </c>
      <c r="BN931" t="s">
        <v>74</v>
      </c>
      <c r="BO931" t="s">
        <v>74</v>
      </c>
      <c r="BP931" t="s">
        <v>74</v>
      </c>
      <c r="BQ931" t="s">
        <v>74</v>
      </c>
      <c r="BR931" t="s">
        <v>97</v>
      </c>
      <c r="BS931" t="s">
        <v>12250</v>
      </c>
      <c r="BT931" t="str">
        <f>HYPERLINK("https%3A%2F%2Fwww.webofscience.com%2Fwos%2Fwoscc%2Ffull-record%2FWOS:000089758800018","View Full Record in Web of Science")</f>
        <v>View Full Record in Web of Science</v>
      </c>
    </row>
    <row r="932" spans="1:72" x14ac:dyDescent="0.15">
      <c r="A932" t="s">
        <v>72</v>
      </c>
      <c r="B932" t="s">
        <v>12251</v>
      </c>
      <c r="C932" t="s">
        <v>74</v>
      </c>
      <c r="D932" t="s">
        <v>74</v>
      </c>
      <c r="E932" t="s">
        <v>74</v>
      </c>
      <c r="F932" t="s">
        <v>12251</v>
      </c>
      <c r="G932" t="s">
        <v>74</v>
      </c>
      <c r="H932" t="s">
        <v>74</v>
      </c>
      <c r="I932" t="s">
        <v>12252</v>
      </c>
      <c r="J932" t="s">
        <v>6864</v>
      </c>
      <c r="K932" t="s">
        <v>74</v>
      </c>
      <c r="L932" t="s">
        <v>74</v>
      </c>
      <c r="M932" t="s">
        <v>77</v>
      </c>
      <c r="N932" t="s">
        <v>78</v>
      </c>
      <c r="O932" t="s">
        <v>74</v>
      </c>
      <c r="P932" t="s">
        <v>74</v>
      </c>
      <c r="Q932" t="s">
        <v>74</v>
      </c>
      <c r="R932" t="s">
        <v>74</v>
      </c>
      <c r="S932" t="s">
        <v>74</v>
      </c>
      <c r="T932" t="s">
        <v>12253</v>
      </c>
      <c r="U932" t="s">
        <v>12254</v>
      </c>
      <c r="V932" t="s">
        <v>12255</v>
      </c>
      <c r="W932" t="s">
        <v>12256</v>
      </c>
      <c r="X932" t="s">
        <v>12257</v>
      </c>
      <c r="Y932" t="s">
        <v>12258</v>
      </c>
      <c r="Z932" t="s">
        <v>74</v>
      </c>
      <c r="AA932" t="s">
        <v>74</v>
      </c>
      <c r="AB932" t="s">
        <v>12259</v>
      </c>
      <c r="AC932" t="s">
        <v>74</v>
      </c>
      <c r="AD932" t="s">
        <v>74</v>
      </c>
      <c r="AE932" t="s">
        <v>74</v>
      </c>
      <c r="AF932" t="s">
        <v>74</v>
      </c>
      <c r="AG932">
        <v>39</v>
      </c>
      <c r="AH932">
        <v>51</v>
      </c>
      <c r="AI932">
        <v>61</v>
      </c>
      <c r="AJ932">
        <v>0</v>
      </c>
      <c r="AK932">
        <v>17</v>
      </c>
      <c r="AL932" t="s">
        <v>10006</v>
      </c>
      <c r="AM932" t="s">
        <v>160</v>
      </c>
      <c r="AN932" t="s">
        <v>161</v>
      </c>
      <c r="AO932" t="s">
        <v>5492</v>
      </c>
      <c r="AP932" t="s">
        <v>74</v>
      </c>
      <c r="AQ932" t="s">
        <v>74</v>
      </c>
      <c r="AR932" t="s">
        <v>5494</v>
      </c>
      <c r="AS932" t="s">
        <v>5495</v>
      </c>
      <c r="AT932" t="s">
        <v>11711</v>
      </c>
      <c r="AU932">
        <v>2000</v>
      </c>
      <c r="AV932">
        <v>170</v>
      </c>
      <c r="AW932">
        <v>4</v>
      </c>
      <c r="AX932" t="s">
        <v>74</v>
      </c>
      <c r="AY932" t="s">
        <v>74</v>
      </c>
      <c r="AZ932" t="s">
        <v>74</v>
      </c>
      <c r="BA932" t="s">
        <v>74</v>
      </c>
      <c r="BB932">
        <v>321</v>
      </c>
      <c r="BC932">
        <v>327</v>
      </c>
      <c r="BD932" t="s">
        <v>74</v>
      </c>
      <c r="BE932" t="s">
        <v>12260</v>
      </c>
      <c r="BF932" t="str">
        <f>HYPERLINK("http://dx.doi.org/10.1007/s003600000106","http://dx.doi.org/10.1007/s003600000106")</f>
        <v>http://dx.doi.org/10.1007/s003600000106</v>
      </c>
      <c r="BG932" t="s">
        <v>74</v>
      </c>
      <c r="BH932" t="s">
        <v>74</v>
      </c>
      <c r="BI932">
        <v>7</v>
      </c>
      <c r="BJ932" t="s">
        <v>5497</v>
      </c>
      <c r="BK932" t="s">
        <v>94</v>
      </c>
      <c r="BL932" t="s">
        <v>5497</v>
      </c>
      <c r="BM932" t="s">
        <v>12261</v>
      </c>
      <c r="BN932">
        <v>10935523</v>
      </c>
      <c r="BO932" t="s">
        <v>74</v>
      </c>
      <c r="BP932" t="s">
        <v>74</v>
      </c>
      <c r="BQ932" t="s">
        <v>74</v>
      </c>
      <c r="BR932" t="s">
        <v>97</v>
      </c>
      <c r="BS932" t="s">
        <v>12262</v>
      </c>
      <c r="BT932" t="str">
        <f>HYPERLINK("https%3A%2F%2Fwww.webofscience.com%2Fwos%2Fwoscc%2Ffull-record%2FWOS:000088205700008","View Full Record in Web of Science")</f>
        <v>View Full Record in Web of Science</v>
      </c>
    </row>
    <row r="933" spans="1:72" x14ac:dyDescent="0.15">
      <c r="A933" t="s">
        <v>72</v>
      </c>
      <c r="B933" t="s">
        <v>7624</v>
      </c>
      <c r="C933" t="s">
        <v>74</v>
      </c>
      <c r="D933" t="s">
        <v>74</v>
      </c>
      <c r="E933" t="s">
        <v>74</v>
      </c>
      <c r="F933" t="s">
        <v>7624</v>
      </c>
      <c r="G933" t="s">
        <v>74</v>
      </c>
      <c r="H933" t="s">
        <v>74</v>
      </c>
      <c r="I933" t="s">
        <v>12263</v>
      </c>
      <c r="J933" t="s">
        <v>5521</v>
      </c>
      <c r="K933" t="s">
        <v>74</v>
      </c>
      <c r="L933" t="s">
        <v>74</v>
      </c>
      <c r="M933" t="s">
        <v>77</v>
      </c>
      <c r="N933" t="s">
        <v>78</v>
      </c>
      <c r="O933" t="s">
        <v>74</v>
      </c>
      <c r="P933" t="s">
        <v>74</v>
      </c>
      <c r="Q933" t="s">
        <v>74</v>
      </c>
      <c r="R933" t="s">
        <v>74</v>
      </c>
      <c r="S933" t="s">
        <v>74</v>
      </c>
      <c r="T933" t="s">
        <v>12264</v>
      </c>
      <c r="U933" t="s">
        <v>12265</v>
      </c>
      <c r="V933" t="s">
        <v>12266</v>
      </c>
      <c r="W933" t="s">
        <v>12267</v>
      </c>
      <c r="X933" t="s">
        <v>221</v>
      </c>
      <c r="Y933" t="s">
        <v>12268</v>
      </c>
      <c r="Z933" t="s">
        <v>74</v>
      </c>
      <c r="AA933" t="s">
        <v>74</v>
      </c>
      <c r="AB933" t="s">
        <v>74</v>
      </c>
      <c r="AC933" t="s">
        <v>74</v>
      </c>
      <c r="AD933" t="s">
        <v>74</v>
      </c>
      <c r="AE933" t="s">
        <v>74</v>
      </c>
      <c r="AF933" t="s">
        <v>74</v>
      </c>
      <c r="AG933">
        <v>32</v>
      </c>
      <c r="AH933">
        <v>25</v>
      </c>
      <c r="AI933">
        <v>28</v>
      </c>
      <c r="AJ933">
        <v>2</v>
      </c>
      <c r="AK933">
        <v>33</v>
      </c>
      <c r="AL933" t="s">
        <v>5530</v>
      </c>
      <c r="AM933" t="s">
        <v>109</v>
      </c>
      <c r="AN933" t="s">
        <v>5531</v>
      </c>
      <c r="AO933" t="s">
        <v>5532</v>
      </c>
      <c r="AP933" t="s">
        <v>74</v>
      </c>
      <c r="AQ933" t="s">
        <v>74</v>
      </c>
      <c r="AR933" t="s">
        <v>5533</v>
      </c>
      <c r="AS933" t="s">
        <v>5534</v>
      </c>
      <c r="AT933" t="s">
        <v>11711</v>
      </c>
      <c r="AU933">
        <v>2000</v>
      </c>
      <c r="AV933">
        <v>203</v>
      </c>
      <c r="AW933">
        <v>12</v>
      </c>
      <c r="AX933" t="s">
        <v>74</v>
      </c>
      <c r="AY933" t="s">
        <v>74</v>
      </c>
      <c r="AZ933" t="s">
        <v>74</v>
      </c>
      <c r="BA933" t="s">
        <v>74</v>
      </c>
      <c r="BB933">
        <v>1907</v>
      </c>
      <c r="BC933">
        <v>1914</v>
      </c>
      <c r="BD933" t="s">
        <v>74</v>
      </c>
      <c r="BE933" t="s">
        <v>74</v>
      </c>
      <c r="BF933" t="s">
        <v>74</v>
      </c>
      <c r="BG933" t="s">
        <v>74</v>
      </c>
      <c r="BH933" t="s">
        <v>74</v>
      </c>
      <c r="BI933">
        <v>8</v>
      </c>
      <c r="BJ933" t="s">
        <v>3757</v>
      </c>
      <c r="BK933" t="s">
        <v>94</v>
      </c>
      <c r="BL933" t="s">
        <v>3758</v>
      </c>
      <c r="BM933" t="s">
        <v>12269</v>
      </c>
      <c r="BN933">
        <v>10821747</v>
      </c>
      <c r="BO933" t="s">
        <v>74</v>
      </c>
      <c r="BP933" t="s">
        <v>74</v>
      </c>
      <c r="BQ933" t="s">
        <v>74</v>
      </c>
      <c r="BR933" t="s">
        <v>97</v>
      </c>
      <c r="BS933" t="s">
        <v>12270</v>
      </c>
      <c r="BT933" t="str">
        <f>HYPERLINK("https%3A%2F%2Fwww.webofscience.com%2Fwos%2Fwoscc%2Ffull-record%2FWOS:000087938800013","View Full Record in Web of Science")</f>
        <v>View Full Record in Web of Science</v>
      </c>
    </row>
    <row r="934" spans="1:72" x14ac:dyDescent="0.15">
      <c r="A934" t="s">
        <v>72</v>
      </c>
      <c r="B934" t="s">
        <v>12271</v>
      </c>
      <c r="C934" t="s">
        <v>74</v>
      </c>
      <c r="D934" t="s">
        <v>74</v>
      </c>
      <c r="E934" t="s">
        <v>74</v>
      </c>
      <c r="F934" t="s">
        <v>12271</v>
      </c>
      <c r="G934" t="s">
        <v>74</v>
      </c>
      <c r="H934" t="s">
        <v>74</v>
      </c>
      <c r="I934" t="s">
        <v>12272</v>
      </c>
      <c r="J934" t="s">
        <v>5556</v>
      </c>
      <c r="K934" t="s">
        <v>74</v>
      </c>
      <c r="L934" t="s">
        <v>74</v>
      </c>
      <c r="M934" t="s">
        <v>77</v>
      </c>
      <c r="N934" t="s">
        <v>78</v>
      </c>
      <c r="O934" t="s">
        <v>74</v>
      </c>
      <c r="P934" t="s">
        <v>74</v>
      </c>
      <c r="Q934" t="s">
        <v>74</v>
      </c>
      <c r="R934" t="s">
        <v>74</v>
      </c>
      <c r="S934" t="s">
        <v>74</v>
      </c>
      <c r="T934" t="s">
        <v>12273</v>
      </c>
      <c r="U934" t="s">
        <v>12274</v>
      </c>
      <c r="V934" t="s">
        <v>12275</v>
      </c>
      <c r="W934" t="s">
        <v>12276</v>
      </c>
      <c r="X934" t="s">
        <v>12277</v>
      </c>
      <c r="Y934" t="s">
        <v>12278</v>
      </c>
      <c r="Z934" t="s">
        <v>12279</v>
      </c>
      <c r="AA934" t="s">
        <v>12280</v>
      </c>
      <c r="AB934" t="s">
        <v>12281</v>
      </c>
      <c r="AC934" t="s">
        <v>74</v>
      </c>
      <c r="AD934" t="s">
        <v>74</v>
      </c>
      <c r="AE934" t="s">
        <v>74</v>
      </c>
      <c r="AF934" t="s">
        <v>74</v>
      </c>
      <c r="AG934">
        <v>41</v>
      </c>
      <c r="AH934">
        <v>29</v>
      </c>
      <c r="AI934">
        <v>35</v>
      </c>
      <c r="AJ934">
        <v>0</v>
      </c>
      <c r="AK934">
        <v>12</v>
      </c>
      <c r="AL934" t="s">
        <v>813</v>
      </c>
      <c r="AM934" t="s">
        <v>814</v>
      </c>
      <c r="AN934" t="s">
        <v>815</v>
      </c>
      <c r="AO934" t="s">
        <v>5569</v>
      </c>
      <c r="AP934" t="s">
        <v>12282</v>
      </c>
      <c r="AQ934" t="s">
        <v>74</v>
      </c>
      <c r="AR934" t="s">
        <v>5570</v>
      </c>
      <c r="AS934" t="s">
        <v>5571</v>
      </c>
      <c r="AT934" t="s">
        <v>11711</v>
      </c>
      <c r="AU934">
        <v>2000</v>
      </c>
      <c r="AV934">
        <v>56</v>
      </c>
      <c r="AW934">
        <v>6</v>
      </c>
      <c r="AX934" t="s">
        <v>74</v>
      </c>
      <c r="AY934" t="s">
        <v>74</v>
      </c>
      <c r="AZ934" t="s">
        <v>74</v>
      </c>
      <c r="BA934" t="s">
        <v>74</v>
      </c>
      <c r="BB934">
        <v>1295</v>
      </c>
      <c r="BC934">
        <v>1311</v>
      </c>
      <c r="BD934" t="s">
        <v>74</v>
      </c>
      <c r="BE934" t="s">
        <v>12283</v>
      </c>
      <c r="BF934" t="str">
        <f>HYPERLINK("http://dx.doi.org/10.1006/jfbi.2000.1254","http://dx.doi.org/10.1006/jfbi.2000.1254")</f>
        <v>http://dx.doi.org/10.1006/jfbi.2000.1254</v>
      </c>
      <c r="BG934" t="s">
        <v>74</v>
      </c>
      <c r="BH934" t="s">
        <v>74</v>
      </c>
      <c r="BI934">
        <v>17</v>
      </c>
      <c r="BJ934" t="s">
        <v>4308</v>
      </c>
      <c r="BK934" t="s">
        <v>94</v>
      </c>
      <c r="BL934" t="s">
        <v>4308</v>
      </c>
      <c r="BM934" t="s">
        <v>12284</v>
      </c>
      <c r="BN934" t="s">
        <v>74</v>
      </c>
      <c r="BO934" t="s">
        <v>74</v>
      </c>
      <c r="BP934" t="s">
        <v>74</v>
      </c>
      <c r="BQ934" t="s">
        <v>74</v>
      </c>
      <c r="BR934" t="s">
        <v>97</v>
      </c>
      <c r="BS934" t="s">
        <v>12285</v>
      </c>
      <c r="BT934" t="str">
        <f>HYPERLINK("https%3A%2F%2Fwww.webofscience.com%2Fwos%2Fwoscc%2Ffull-record%2FWOS:000088041200001","View Full Record in Web of Science")</f>
        <v>View Full Record in Web of Science</v>
      </c>
    </row>
    <row r="935" spans="1:72" x14ac:dyDescent="0.15">
      <c r="A935" t="s">
        <v>72</v>
      </c>
      <c r="B935" t="s">
        <v>12286</v>
      </c>
      <c r="C935" t="s">
        <v>74</v>
      </c>
      <c r="D935" t="s">
        <v>74</v>
      </c>
      <c r="E935" t="s">
        <v>74</v>
      </c>
      <c r="F935" t="s">
        <v>12286</v>
      </c>
      <c r="G935" t="s">
        <v>74</v>
      </c>
      <c r="H935" t="s">
        <v>74</v>
      </c>
      <c r="I935" t="s">
        <v>12287</v>
      </c>
      <c r="J935" t="s">
        <v>2143</v>
      </c>
      <c r="K935" t="s">
        <v>74</v>
      </c>
      <c r="L935" t="s">
        <v>74</v>
      </c>
      <c r="M935" t="s">
        <v>77</v>
      </c>
      <c r="N935" t="s">
        <v>78</v>
      </c>
      <c r="O935" t="s">
        <v>74</v>
      </c>
      <c r="P935" t="s">
        <v>74</v>
      </c>
      <c r="Q935" t="s">
        <v>74</v>
      </c>
      <c r="R935" t="s">
        <v>74</v>
      </c>
      <c r="S935" t="s">
        <v>74</v>
      </c>
      <c r="T935" t="s">
        <v>74</v>
      </c>
      <c r="U935" t="s">
        <v>12288</v>
      </c>
      <c r="V935" t="s">
        <v>12289</v>
      </c>
      <c r="W935" t="s">
        <v>12290</v>
      </c>
      <c r="X935" t="s">
        <v>12291</v>
      </c>
      <c r="Y935" t="s">
        <v>12292</v>
      </c>
      <c r="Z935" t="s">
        <v>12293</v>
      </c>
      <c r="AA935" t="s">
        <v>12294</v>
      </c>
      <c r="AB935" t="s">
        <v>12295</v>
      </c>
      <c r="AC935" t="s">
        <v>74</v>
      </c>
      <c r="AD935" t="s">
        <v>74</v>
      </c>
      <c r="AE935" t="s">
        <v>74</v>
      </c>
      <c r="AF935" t="s">
        <v>74</v>
      </c>
      <c r="AG935">
        <v>27</v>
      </c>
      <c r="AH935">
        <v>88</v>
      </c>
      <c r="AI935">
        <v>91</v>
      </c>
      <c r="AJ935">
        <v>0</v>
      </c>
      <c r="AK935">
        <v>6</v>
      </c>
      <c r="AL935" t="s">
        <v>1059</v>
      </c>
      <c r="AM935" t="s">
        <v>1060</v>
      </c>
      <c r="AN935" t="s">
        <v>1061</v>
      </c>
      <c r="AO935" t="s">
        <v>2150</v>
      </c>
      <c r="AP935" t="s">
        <v>2151</v>
      </c>
      <c r="AQ935" t="s">
        <v>74</v>
      </c>
      <c r="AR935" t="s">
        <v>2152</v>
      </c>
      <c r="AS935" t="s">
        <v>2153</v>
      </c>
      <c r="AT935" t="s">
        <v>12142</v>
      </c>
      <c r="AU935">
        <v>2000</v>
      </c>
      <c r="AV935">
        <v>105</v>
      </c>
      <c r="AW935" t="s">
        <v>12296</v>
      </c>
      <c r="AX935" t="s">
        <v>74</v>
      </c>
      <c r="AY935" t="s">
        <v>74</v>
      </c>
      <c r="AZ935" t="s">
        <v>74</v>
      </c>
      <c r="BA935" t="s">
        <v>74</v>
      </c>
      <c r="BB935">
        <v>12907</v>
      </c>
      <c r="BC935">
        <v>12917</v>
      </c>
      <c r="BD935" t="s">
        <v>74</v>
      </c>
      <c r="BE935" t="s">
        <v>12297</v>
      </c>
      <c r="BF935" t="str">
        <f>HYPERLINK("http://dx.doi.org/10.1029/2000JA900010","http://dx.doi.org/10.1029/2000JA900010")</f>
        <v>http://dx.doi.org/10.1029/2000JA900010</v>
      </c>
      <c r="BG935" t="s">
        <v>74</v>
      </c>
      <c r="BH935" t="s">
        <v>74</v>
      </c>
      <c r="BI935">
        <v>11</v>
      </c>
      <c r="BJ935" t="s">
        <v>909</v>
      </c>
      <c r="BK935" t="s">
        <v>94</v>
      </c>
      <c r="BL935" t="s">
        <v>909</v>
      </c>
      <c r="BM935" t="s">
        <v>12298</v>
      </c>
      <c r="BN935" t="s">
        <v>74</v>
      </c>
      <c r="BO935" t="s">
        <v>1755</v>
      </c>
      <c r="BP935" t="s">
        <v>74</v>
      </c>
      <c r="BQ935" t="s">
        <v>74</v>
      </c>
      <c r="BR935" t="s">
        <v>97</v>
      </c>
      <c r="BS935" t="s">
        <v>12299</v>
      </c>
      <c r="BT935" t="str">
        <f>HYPERLINK("https%3A%2F%2Fwww.webofscience.com%2Fwos%2Fwoscc%2Ffull-record%2FWOS:000087351900031","View Full Record in Web of Science")</f>
        <v>View Full Record in Web of Science</v>
      </c>
    </row>
    <row r="936" spans="1:72" x14ac:dyDescent="0.15">
      <c r="A936" t="s">
        <v>72</v>
      </c>
      <c r="B936" t="s">
        <v>12300</v>
      </c>
      <c r="C936" t="s">
        <v>74</v>
      </c>
      <c r="D936" t="s">
        <v>74</v>
      </c>
      <c r="E936" t="s">
        <v>74</v>
      </c>
      <c r="F936" t="s">
        <v>12300</v>
      </c>
      <c r="G936" t="s">
        <v>74</v>
      </c>
      <c r="H936" t="s">
        <v>74</v>
      </c>
      <c r="I936" t="s">
        <v>12301</v>
      </c>
      <c r="J936" t="s">
        <v>2143</v>
      </c>
      <c r="K936" t="s">
        <v>74</v>
      </c>
      <c r="L936" t="s">
        <v>74</v>
      </c>
      <c r="M936" t="s">
        <v>77</v>
      </c>
      <c r="N936" t="s">
        <v>78</v>
      </c>
      <c r="O936" t="s">
        <v>74</v>
      </c>
      <c r="P936" t="s">
        <v>74</v>
      </c>
      <c r="Q936" t="s">
        <v>74</v>
      </c>
      <c r="R936" t="s">
        <v>74</v>
      </c>
      <c r="S936" t="s">
        <v>74</v>
      </c>
      <c r="T936" t="s">
        <v>74</v>
      </c>
      <c r="U936" t="s">
        <v>12302</v>
      </c>
      <c r="V936" t="s">
        <v>12303</v>
      </c>
      <c r="W936" t="s">
        <v>12304</v>
      </c>
      <c r="X936" t="s">
        <v>4191</v>
      </c>
      <c r="Y936" t="s">
        <v>12305</v>
      </c>
      <c r="Z936" t="s">
        <v>12306</v>
      </c>
      <c r="AA936" t="s">
        <v>74</v>
      </c>
      <c r="AB936" t="s">
        <v>74</v>
      </c>
      <c r="AC936" t="s">
        <v>74</v>
      </c>
      <c r="AD936" t="s">
        <v>74</v>
      </c>
      <c r="AE936" t="s">
        <v>74</v>
      </c>
      <c r="AF936" t="s">
        <v>74</v>
      </c>
      <c r="AG936">
        <v>29</v>
      </c>
      <c r="AH936">
        <v>24</v>
      </c>
      <c r="AI936">
        <v>26</v>
      </c>
      <c r="AJ936">
        <v>0</v>
      </c>
      <c r="AK936">
        <v>0</v>
      </c>
      <c r="AL936" t="s">
        <v>1059</v>
      </c>
      <c r="AM936" t="s">
        <v>1060</v>
      </c>
      <c r="AN936" t="s">
        <v>1061</v>
      </c>
      <c r="AO936" t="s">
        <v>2150</v>
      </c>
      <c r="AP936" t="s">
        <v>2151</v>
      </c>
      <c r="AQ936" t="s">
        <v>74</v>
      </c>
      <c r="AR936" t="s">
        <v>2152</v>
      </c>
      <c r="AS936" t="s">
        <v>2153</v>
      </c>
      <c r="AT936" t="s">
        <v>12142</v>
      </c>
      <c r="AU936">
        <v>2000</v>
      </c>
      <c r="AV936">
        <v>105</v>
      </c>
      <c r="AW936" t="s">
        <v>12296</v>
      </c>
      <c r="AX936" t="s">
        <v>74</v>
      </c>
      <c r="AY936" t="s">
        <v>74</v>
      </c>
      <c r="AZ936" t="s">
        <v>74</v>
      </c>
      <c r="BA936" t="s">
        <v>74</v>
      </c>
      <c r="BB936">
        <v>12997</v>
      </c>
      <c r="BC936">
        <v>13008</v>
      </c>
      <c r="BD936" t="s">
        <v>74</v>
      </c>
      <c r="BE936" t="s">
        <v>12307</v>
      </c>
      <c r="BF936" t="str">
        <f>HYPERLINK("http://dx.doi.org/10.1029/1999JA900497","http://dx.doi.org/10.1029/1999JA900497")</f>
        <v>http://dx.doi.org/10.1029/1999JA900497</v>
      </c>
      <c r="BG936" t="s">
        <v>74</v>
      </c>
      <c r="BH936" t="s">
        <v>74</v>
      </c>
      <c r="BI936">
        <v>12</v>
      </c>
      <c r="BJ936" t="s">
        <v>909</v>
      </c>
      <c r="BK936" t="s">
        <v>94</v>
      </c>
      <c r="BL936" t="s">
        <v>909</v>
      </c>
      <c r="BM936" t="s">
        <v>12298</v>
      </c>
      <c r="BN936" t="s">
        <v>74</v>
      </c>
      <c r="BO936" t="s">
        <v>1755</v>
      </c>
      <c r="BP936" t="s">
        <v>74</v>
      </c>
      <c r="BQ936" t="s">
        <v>74</v>
      </c>
      <c r="BR936" t="s">
        <v>97</v>
      </c>
      <c r="BS936" t="s">
        <v>12308</v>
      </c>
      <c r="BT936" t="str">
        <f>HYPERLINK("https%3A%2F%2Fwww.webofscience.com%2Fwos%2Fwoscc%2Ffull-record%2FWOS:000087351900038","View Full Record in Web of Science")</f>
        <v>View Full Record in Web of Science</v>
      </c>
    </row>
    <row r="937" spans="1:72" x14ac:dyDescent="0.15">
      <c r="A937" t="s">
        <v>72</v>
      </c>
      <c r="B937" t="s">
        <v>12309</v>
      </c>
      <c r="C937" t="s">
        <v>74</v>
      </c>
      <c r="D937" t="s">
        <v>74</v>
      </c>
      <c r="E937" t="s">
        <v>74</v>
      </c>
      <c r="F937" t="s">
        <v>12309</v>
      </c>
      <c r="G937" t="s">
        <v>74</v>
      </c>
      <c r="H937" t="s">
        <v>74</v>
      </c>
      <c r="I937" t="s">
        <v>12310</v>
      </c>
      <c r="J937" t="s">
        <v>12311</v>
      </c>
      <c r="K937" t="s">
        <v>74</v>
      </c>
      <c r="L937" t="s">
        <v>74</v>
      </c>
      <c r="M937" t="s">
        <v>77</v>
      </c>
      <c r="N937" t="s">
        <v>78</v>
      </c>
      <c r="O937" t="s">
        <v>74</v>
      </c>
      <c r="P937" t="s">
        <v>74</v>
      </c>
      <c r="Q937" t="s">
        <v>74</v>
      </c>
      <c r="R937" t="s">
        <v>74</v>
      </c>
      <c r="S937" t="s">
        <v>74</v>
      </c>
      <c r="T937" t="s">
        <v>12312</v>
      </c>
      <c r="U937" t="s">
        <v>12313</v>
      </c>
      <c r="V937" t="s">
        <v>12314</v>
      </c>
      <c r="W937" t="s">
        <v>12315</v>
      </c>
      <c r="X937" t="s">
        <v>12316</v>
      </c>
      <c r="Y937" t="s">
        <v>12317</v>
      </c>
      <c r="Z937" t="s">
        <v>74</v>
      </c>
      <c r="AA937" t="s">
        <v>74</v>
      </c>
      <c r="AB937" t="s">
        <v>74</v>
      </c>
      <c r="AC937" t="s">
        <v>74</v>
      </c>
      <c r="AD937" t="s">
        <v>74</v>
      </c>
      <c r="AE937" t="s">
        <v>74</v>
      </c>
      <c r="AF937" t="s">
        <v>74</v>
      </c>
      <c r="AG937">
        <v>31</v>
      </c>
      <c r="AH937">
        <v>78</v>
      </c>
      <c r="AI937">
        <v>87</v>
      </c>
      <c r="AJ937">
        <v>0</v>
      </c>
      <c r="AK937">
        <v>7</v>
      </c>
      <c r="AL937" t="s">
        <v>12318</v>
      </c>
      <c r="AM937" t="s">
        <v>160</v>
      </c>
      <c r="AN937" t="s">
        <v>12319</v>
      </c>
      <c r="AO937" t="s">
        <v>12320</v>
      </c>
      <c r="AP937" t="s">
        <v>74</v>
      </c>
      <c r="AQ937" t="s">
        <v>74</v>
      </c>
      <c r="AR937" t="s">
        <v>12321</v>
      </c>
      <c r="AS937" t="s">
        <v>12322</v>
      </c>
      <c r="AT937" t="s">
        <v>11711</v>
      </c>
      <c r="AU937">
        <v>2000</v>
      </c>
      <c r="AV937">
        <v>61</v>
      </c>
      <c r="AW937">
        <v>2</v>
      </c>
      <c r="AX937" t="s">
        <v>74</v>
      </c>
      <c r="AY937" t="s">
        <v>74</v>
      </c>
      <c r="AZ937" t="s">
        <v>74</v>
      </c>
      <c r="BA937" t="s">
        <v>74</v>
      </c>
      <c r="BB937">
        <v>235</v>
      </c>
      <c r="BC937">
        <v>240</v>
      </c>
      <c r="BD937" t="s">
        <v>74</v>
      </c>
      <c r="BE937" t="s">
        <v>12323</v>
      </c>
      <c r="BF937" t="str">
        <f>HYPERLINK("http://dx.doi.org/10.1002/(SICI)1096-9071(200006)61:2&lt;235::AID-JMV10&gt;3.0.CO;2-4","http://dx.doi.org/10.1002/(SICI)1096-9071(200006)61:2&lt;235::AID-JMV10&gt;3.0.CO;2-4")</f>
        <v>http://dx.doi.org/10.1002/(SICI)1096-9071(200006)61:2&lt;235::AID-JMV10&gt;3.0.CO;2-4</v>
      </c>
      <c r="BG937" t="s">
        <v>74</v>
      </c>
      <c r="BH937" t="s">
        <v>74</v>
      </c>
      <c r="BI937">
        <v>6</v>
      </c>
      <c r="BJ937" t="s">
        <v>12324</v>
      </c>
      <c r="BK937" t="s">
        <v>94</v>
      </c>
      <c r="BL937" t="s">
        <v>12324</v>
      </c>
      <c r="BM937" t="s">
        <v>12325</v>
      </c>
      <c r="BN937">
        <v>10797380</v>
      </c>
      <c r="BO937" t="s">
        <v>2294</v>
      </c>
      <c r="BP937" t="s">
        <v>74</v>
      </c>
      <c r="BQ937" t="s">
        <v>74</v>
      </c>
      <c r="BR937" t="s">
        <v>97</v>
      </c>
      <c r="BS937" t="s">
        <v>12326</v>
      </c>
      <c r="BT937" t="str">
        <f>HYPERLINK("https%3A%2F%2Fwww.webofscience.com%2Fwos%2Fwoscc%2Ffull-record%2FWOS:000086765200010","View Full Record in Web of Science")</f>
        <v>View Full Record in Web of Science</v>
      </c>
    </row>
    <row r="938" spans="1:72" x14ac:dyDescent="0.15">
      <c r="A938" t="s">
        <v>72</v>
      </c>
      <c r="B938" t="s">
        <v>12327</v>
      </c>
      <c r="C938" t="s">
        <v>74</v>
      </c>
      <c r="D938" t="s">
        <v>74</v>
      </c>
      <c r="E938" t="s">
        <v>74</v>
      </c>
      <c r="F938" t="s">
        <v>12327</v>
      </c>
      <c r="G938" t="s">
        <v>74</v>
      </c>
      <c r="H938" t="s">
        <v>74</v>
      </c>
      <c r="I938" t="s">
        <v>12328</v>
      </c>
      <c r="J938" t="s">
        <v>12329</v>
      </c>
      <c r="K938" t="s">
        <v>74</v>
      </c>
      <c r="L938" t="s">
        <v>74</v>
      </c>
      <c r="M938" t="s">
        <v>77</v>
      </c>
      <c r="N938" t="s">
        <v>78</v>
      </c>
      <c r="O938" t="s">
        <v>74</v>
      </c>
      <c r="P938" t="s">
        <v>74</v>
      </c>
      <c r="Q938" t="s">
        <v>74</v>
      </c>
      <c r="R938" t="s">
        <v>74</v>
      </c>
      <c r="S938" t="s">
        <v>74</v>
      </c>
      <c r="T938" t="s">
        <v>12330</v>
      </c>
      <c r="U938" t="s">
        <v>12331</v>
      </c>
      <c r="V938" t="s">
        <v>12332</v>
      </c>
      <c r="W938" t="s">
        <v>12333</v>
      </c>
      <c r="X938" t="s">
        <v>12334</v>
      </c>
      <c r="Y938" t="s">
        <v>12335</v>
      </c>
      <c r="Z938" t="s">
        <v>74</v>
      </c>
      <c r="AA938" t="s">
        <v>1097</v>
      </c>
      <c r="AB938" t="s">
        <v>74</v>
      </c>
      <c r="AC938" t="s">
        <v>74</v>
      </c>
      <c r="AD938" t="s">
        <v>74</v>
      </c>
      <c r="AE938" t="s">
        <v>74</v>
      </c>
      <c r="AF938" t="s">
        <v>74</v>
      </c>
      <c r="AG938">
        <v>35</v>
      </c>
      <c r="AH938">
        <v>54</v>
      </c>
      <c r="AI938">
        <v>64</v>
      </c>
      <c r="AJ938">
        <v>0</v>
      </c>
      <c r="AK938">
        <v>8</v>
      </c>
      <c r="AL938" t="s">
        <v>12336</v>
      </c>
      <c r="AM938" t="s">
        <v>12337</v>
      </c>
      <c r="AN938" t="s">
        <v>12338</v>
      </c>
      <c r="AO938" t="s">
        <v>12339</v>
      </c>
      <c r="AP938" t="s">
        <v>74</v>
      </c>
      <c r="AQ938" t="s">
        <v>74</v>
      </c>
      <c r="AR938" t="s">
        <v>12340</v>
      </c>
      <c r="AS938" t="s">
        <v>12341</v>
      </c>
      <c r="AT938" t="s">
        <v>11711</v>
      </c>
      <c r="AU938">
        <v>2000</v>
      </c>
      <c r="AV938">
        <v>32</v>
      </c>
      <c r="AW938">
        <v>2</v>
      </c>
      <c r="AX938" t="s">
        <v>74</v>
      </c>
      <c r="AY938" t="s">
        <v>74</v>
      </c>
      <c r="AZ938" t="s">
        <v>74</v>
      </c>
      <c r="BA938" t="s">
        <v>74</v>
      </c>
      <c r="BB938">
        <v>143</v>
      </c>
      <c r="BC938">
        <v>153</v>
      </c>
      <c r="BD938" t="s">
        <v>74</v>
      </c>
      <c r="BE938" t="s">
        <v>74</v>
      </c>
      <c r="BF938" t="s">
        <v>74</v>
      </c>
      <c r="BG938" t="s">
        <v>74</v>
      </c>
      <c r="BH938" t="s">
        <v>74</v>
      </c>
      <c r="BI938">
        <v>11</v>
      </c>
      <c r="BJ938" t="s">
        <v>206</v>
      </c>
      <c r="BK938" t="s">
        <v>94</v>
      </c>
      <c r="BL938" t="s">
        <v>206</v>
      </c>
      <c r="BM938" t="s">
        <v>12342</v>
      </c>
      <c r="BN938">
        <v>19270960</v>
      </c>
      <c r="BO938" t="s">
        <v>74</v>
      </c>
      <c r="BP938" t="s">
        <v>74</v>
      </c>
      <c r="BQ938" t="s">
        <v>74</v>
      </c>
      <c r="BR938" t="s">
        <v>97</v>
      </c>
      <c r="BS938" t="s">
        <v>12343</v>
      </c>
      <c r="BT938" t="str">
        <f>HYPERLINK("https%3A%2F%2Fwww.webofscience.com%2Fwos%2Fwoscc%2Ffull-record%2FWOS:000089060500004","View Full Record in Web of Science")</f>
        <v>View Full Record in Web of Science</v>
      </c>
    </row>
    <row r="939" spans="1:72" x14ac:dyDescent="0.15">
      <c r="A939" t="s">
        <v>72</v>
      </c>
      <c r="B939" t="s">
        <v>12344</v>
      </c>
      <c r="C939" t="s">
        <v>74</v>
      </c>
      <c r="D939" t="s">
        <v>74</v>
      </c>
      <c r="E939" t="s">
        <v>74</v>
      </c>
      <c r="F939" t="s">
        <v>12344</v>
      </c>
      <c r="G939" t="s">
        <v>74</v>
      </c>
      <c r="H939" t="s">
        <v>74</v>
      </c>
      <c r="I939" t="s">
        <v>12345</v>
      </c>
      <c r="J939" t="s">
        <v>10255</v>
      </c>
      <c r="K939" t="s">
        <v>74</v>
      </c>
      <c r="L939" t="s">
        <v>74</v>
      </c>
      <c r="M939" t="s">
        <v>77</v>
      </c>
      <c r="N939" t="s">
        <v>78</v>
      </c>
      <c r="O939" t="s">
        <v>74</v>
      </c>
      <c r="P939" t="s">
        <v>74</v>
      </c>
      <c r="Q939" t="s">
        <v>74</v>
      </c>
      <c r="R939" t="s">
        <v>74</v>
      </c>
      <c r="S939" t="s">
        <v>74</v>
      </c>
      <c r="T939" t="s">
        <v>12346</v>
      </c>
      <c r="U939" t="s">
        <v>12347</v>
      </c>
      <c r="V939" t="s">
        <v>12348</v>
      </c>
      <c r="W939" t="s">
        <v>12349</v>
      </c>
      <c r="X939" t="s">
        <v>12350</v>
      </c>
      <c r="Y939" t="s">
        <v>961</v>
      </c>
      <c r="Z939" t="s">
        <v>12351</v>
      </c>
      <c r="AA939" t="s">
        <v>12352</v>
      </c>
      <c r="AB939" t="s">
        <v>74</v>
      </c>
      <c r="AC939" t="s">
        <v>74</v>
      </c>
      <c r="AD939" t="s">
        <v>74</v>
      </c>
      <c r="AE939" t="s">
        <v>74</v>
      </c>
      <c r="AF939" t="s">
        <v>74</v>
      </c>
      <c r="AG939">
        <v>70</v>
      </c>
      <c r="AH939">
        <v>116</v>
      </c>
      <c r="AI939">
        <v>131</v>
      </c>
      <c r="AJ939">
        <v>0</v>
      </c>
      <c r="AK939">
        <v>13</v>
      </c>
      <c r="AL939" t="s">
        <v>6711</v>
      </c>
      <c r="AM939" t="s">
        <v>246</v>
      </c>
      <c r="AN939" t="s">
        <v>6712</v>
      </c>
      <c r="AO939" t="s">
        <v>10264</v>
      </c>
      <c r="AP939" t="s">
        <v>12353</v>
      </c>
      <c r="AQ939" t="s">
        <v>74</v>
      </c>
      <c r="AR939" t="s">
        <v>10265</v>
      </c>
      <c r="AS939" t="s">
        <v>10266</v>
      </c>
      <c r="AT939" t="s">
        <v>11711</v>
      </c>
      <c r="AU939">
        <v>2000</v>
      </c>
      <c r="AV939">
        <v>41</v>
      </c>
      <c r="AW939">
        <v>6</v>
      </c>
      <c r="AX939" t="s">
        <v>74</v>
      </c>
      <c r="AY939" t="s">
        <v>74</v>
      </c>
      <c r="AZ939" t="s">
        <v>74</v>
      </c>
      <c r="BA939" t="s">
        <v>74</v>
      </c>
      <c r="BB939">
        <v>845</v>
      </c>
      <c r="BC939">
        <v>866</v>
      </c>
      <c r="BD939" t="s">
        <v>74</v>
      </c>
      <c r="BE939" t="s">
        <v>12354</v>
      </c>
      <c r="BF939" t="str">
        <f>HYPERLINK("http://dx.doi.org/10.1093/petrology/41.6.845","http://dx.doi.org/10.1093/petrology/41.6.845")</f>
        <v>http://dx.doi.org/10.1093/petrology/41.6.845</v>
      </c>
      <c r="BG939" t="s">
        <v>74</v>
      </c>
      <c r="BH939" t="s">
        <v>74</v>
      </c>
      <c r="BI939">
        <v>22</v>
      </c>
      <c r="BJ939" t="s">
        <v>953</v>
      </c>
      <c r="BK939" t="s">
        <v>94</v>
      </c>
      <c r="BL939" t="s">
        <v>953</v>
      </c>
      <c r="BM939" t="s">
        <v>12355</v>
      </c>
      <c r="BN939" t="s">
        <v>74</v>
      </c>
      <c r="BO939" t="s">
        <v>1755</v>
      </c>
      <c r="BP939" t="s">
        <v>74</v>
      </c>
      <c r="BQ939" t="s">
        <v>74</v>
      </c>
      <c r="BR939" t="s">
        <v>97</v>
      </c>
      <c r="BS939" t="s">
        <v>12356</v>
      </c>
      <c r="BT939" t="str">
        <f>HYPERLINK("https%3A%2F%2Fwww.webofscience.com%2Fwos%2Fwoscc%2Ffull-record%2FWOS:000087485600005","View Full Record in Web of Science")</f>
        <v>View Full Record in Web of Science</v>
      </c>
    </row>
    <row r="940" spans="1:72" x14ac:dyDescent="0.15">
      <c r="A940" t="s">
        <v>72</v>
      </c>
      <c r="B940" t="s">
        <v>12357</v>
      </c>
      <c r="C940" t="s">
        <v>74</v>
      </c>
      <c r="D940" t="s">
        <v>74</v>
      </c>
      <c r="E940" t="s">
        <v>74</v>
      </c>
      <c r="F940" t="s">
        <v>12357</v>
      </c>
      <c r="G940" t="s">
        <v>74</v>
      </c>
      <c r="H940" t="s">
        <v>74</v>
      </c>
      <c r="I940" t="s">
        <v>12358</v>
      </c>
      <c r="J940" t="s">
        <v>7782</v>
      </c>
      <c r="K940" t="s">
        <v>74</v>
      </c>
      <c r="L940" t="s">
        <v>74</v>
      </c>
      <c r="M940" t="s">
        <v>77</v>
      </c>
      <c r="N940" t="s">
        <v>78</v>
      </c>
      <c r="O940" t="s">
        <v>74</v>
      </c>
      <c r="P940" t="s">
        <v>74</v>
      </c>
      <c r="Q940" t="s">
        <v>74</v>
      </c>
      <c r="R940" t="s">
        <v>74</v>
      </c>
      <c r="S940" t="s">
        <v>74</v>
      </c>
      <c r="T940" t="s">
        <v>12359</v>
      </c>
      <c r="U940" t="s">
        <v>12360</v>
      </c>
      <c r="V940" t="s">
        <v>12361</v>
      </c>
      <c r="W940" t="s">
        <v>12362</v>
      </c>
      <c r="X940" t="s">
        <v>12363</v>
      </c>
      <c r="Y940" t="s">
        <v>12364</v>
      </c>
      <c r="Z940" t="s">
        <v>74</v>
      </c>
      <c r="AA940" t="s">
        <v>12365</v>
      </c>
      <c r="AB940" t="s">
        <v>12366</v>
      </c>
      <c r="AC940" t="s">
        <v>74</v>
      </c>
      <c r="AD940" t="s">
        <v>74</v>
      </c>
      <c r="AE940" t="s">
        <v>74</v>
      </c>
      <c r="AF940" t="s">
        <v>74</v>
      </c>
      <c r="AG940">
        <v>66</v>
      </c>
      <c r="AH940">
        <v>30</v>
      </c>
      <c r="AI940">
        <v>32</v>
      </c>
      <c r="AJ940">
        <v>0</v>
      </c>
      <c r="AK940">
        <v>16</v>
      </c>
      <c r="AL940" t="s">
        <v>12367</v>
      </c>
      <c r="AM940" t="s">
        <v>5031</v>
      </c>
      <c r="AN940" t="s">
        <v>12368</v>
      </c>
      <c r="AO940" t="s">
        <v>7791</v>
      </c>
      <c r="AP940" t="s">
        <v>74</v>
      </c>
      <c r="AQ940" t="s">
        <v>74</v>
      </c>
      <c r="AR940" t="s">
        <v>7793</v>
      </c>
      <c r="AS940" t="s">
        <v>7794</v>
      </c>
      <c r="AT940" t="s">
        <v>11711</v>
      </c>
      <c r="AU940">
        <v>2000</v>
      </c>
      <c r="AV940">
        <v>36</v>
      </c>
      <c r="AW940">
        <v>3</v>
      </c>
      <c r="AX940" t="s">
        <v>74</v>
      </c>
      <c r="AY940" t="s">
        <v>74</v>
      </c>
      <c r="AZ940" t="s">
        <v>74</v>
      </c>
      <c r="BA940" t="s">
        <v>74</v>
      </c>
      <c r="BB940">
        <v>484</v>
      </c>
      <c r="BC940">
        <v>496</v>
      </c>
      <c r="BD940" t="s">
        <v>74</v>
      </c>
      <c r="BE940" t="s">
        <v>12369</v>
      </c>
      <c r="BF940" t="str">
        <f>HYPERLINK("http://dx.doi.org/10.1046/j.1529-8817.2000.99011.x","http://dx.doi.org/10.1046/j.1529-8817.2000.99011.x")</f>
        <v>http://dx.doi.org/10.1046/j.1529-8817.2000.99011.x</v>
      </c>
      <c r="BG940" t="s">
        <v>74</v>
      </c>
      <c r="BH940" t="s">
        <v>74</v>
      </c>
      <c r="BI940">
        <v>13</v>
      </c>
      <c r="BJ940" t="s">
        <v>190</v>
      </c>
      <c r="BK940" t="s">
        <v>94</v>
      </c>
      <c r="BL940" t="s">
        <v>190</v>
      </c>
      <c r="BM940" t="s">
        <v>12370</v>
      </c>
      <c r="BN940">
        <v>29544011</v>
      </c>
      <c r="BO940" t="s">
        <v>74</v>
      </c>
      <c r="BP940" t="s">
        <v>74</v>
      </c>
      <c r="BQ940" t="s">
        <v>74</v>
      </c>
      <c r="BR940" t="s">
        <v>97</v>
      </c>
      <c r="BS940" t="s">
        <v>12371</v>
      </c>
      <c r="BT940" t="str">
        <f>HYPERLINK("https%3A%2F%2Fwww.webofscience.com%2Fwos%2Fwoscc%2Ffull-record%2FWOS:000087890100004","View Full Record in Web of Science")</f>
        <v>View Full Record in Web of Science</v>
      </c>
    </row>
    <row r="941" spans="1:72" x14ac:dyDescent="0.15">
      <c r="A941" t="s">
        <v>72</v>
      </c>
      <c r="B941" t="s">
        <v>12372</v>
      </c>
      <c r="C941" t="s">
        <v>74</v>
      </c>
      <c r="D941" t="s">
        <v>74</v>
      </c>
      <c r="E941" t="s">
        <v>74</v>
      </c>
      <c r="F941" t="s">
        <v>12372</v>
      </c>
      <c r="G941" t="s">
        <v>74</v>
      </c>
      <c r="H941" t="s">
        <v>74</v>
      </c>
      <c r="I941" t="s">
        <v>12373</v>
      </c>
      <c r="J941" t="s">
        <v>2417</v>
      </c>
      <c r="K941" t="s">
        <v>74</v>
      </c>
      <c r="L941" t="s">
        <v>74</v>
      </c>
      <c r="M941" t="s">
        <v>77</v>
      </c>
      <c r="N941" t="s">
        <v>78</v>
      </c>
      <c r="O941" t="s">
        <v>74</v>
      </c>
      <c r="P941" t="s">
        <v>74</v>
      </c>
      <c r="Q941" t="s">
        <v>74</v>
      </c>
      <c r="R941" t="s">
        <v>74</v>
      </c>
      <c r="S941" t="s">
        <v>74</v>
      </c>
      <c r="T941" t="s">
        <v>74</v>
      </c>
      <c r="U941" t="s">
        <v>12374</v>
      </c>
      <c r="V941" t="s">
        <v>12375</v>
      </c>
      <c r="W941" t="s">
        <v>12376</v>
      </c>
      <c r="X941" t="s">
        <v>2027</v>
      </c>
      <c r="Y941" t="s">
        <v>12377</v>
      </c>
      <c r="Z941" t="s">
        <v>12378</v>
      </c>
      <c r="AA941" t="s">
        <v>12379</v>
      </c>
      <c r="AB941" t="s">
        <v>12380</v>
      </c>
      <c r="AC941" t="s">
        <v>74</v>
      </c>
      <c r="AD941" t="s">
        <v>74</v>
      </c>
      <c r="AE941" t="s">
        <v>74</v>
      </c>
      <c r="AF941" t="s">
        <v>74</v>
      </c>
      <c r="AG941">
        <v>31</v>
      </c>
      <c r="AH941">
        <v>117</v>
      </c>
      <c r="AI941">
        <v>121</v>
      </c>
      <c r="AJ941">
        <v>0</v>
      </c>
      <c r="AK941">
        <v>17</v>
      </c>
      <c r="AL941" t="s">
        <v>1842</v>
      </c>
      <c r="AM941" t="s">
        <v>1843</v>
      </c>
      <c r="AN941" t="s">
        <v>2011</v>
      </c>
      <c r="AO941" t="s">
        <v>2423</v>
      </c>
      <c r="AP941" t="s">
        <v>2491</v>
      </c>
      <c r="AQ941" t="s">
        <v>74</v>
      </c>
      <c r="AR941" t="s">
        <v>2424</v>
      </c>
      <c r="AS941" t="s">
        <v>2425</v>
      </c>
      <c r="AT941" t="s">
        <v>11711</v>
      </c>
      <c r="AU941">
        <v>2000</v>
      </c>
      <c r="AV941">
        <v>30</v>
      </c>
      <c r="AW941">
        <v>6</v>
      </c>
      <c r="AX941" t="s">
        <v>74</v>
      </c>
      <c r="AY941" t="s">
        <v>74</v>
      </c>
      <c r="AZ941" t="s">
        <v>74</v>
      </c>
      <c r="BA941" t="s">
        <v>74</v>
      </c>
      <c r="BB941">
        <v>1207</v>
      </c>
      <c r="BC941">
        <v>1222</v>
      </c>
      <c r="BD941" t="s">
        <v>74</v>
      </c>
      <c r="BE941" t="s">
        <v>12381</v>
      </c>
      <c r="BF941" t="str">
        <f>HYPERLINK("http://dx.doi.org/10.1175/1520-0485(2000)030&lt;1207:DCAAIO&gt;2.0.CO;2","http://dx.doi.org/10.1175/1520-0485(2000)030&lt;1207:DCAAIO&gt;2.0.CO;2")</f>
        <v>http://dx.doi.org/10.1175/1520-0485(2000)030&lt;1207:DCAAIO&gt;2.0.CO;2</v>
      </c>
      <c r="BG941" t="s">
        <v>74</v>
      </c>
      <c r="BH941" t="s">
        <v>74</v>
      </c>
      <c r="BI941">
        <v>16</v>
      </c>
      <c r="BJ941" t="s">
        <v>252</v>
      </c>
      <c r="BK941" t="s">
        <v>94</v>
      </c>
      <c r="BL941" t="s">
        <v>252</v>
      </c>
      <c r="BM941" t="s">
        <v>12382</v>
      </c>
      <c r="BN941" t="s">
        <v>74</v>
      </c>
      <c r="BO941" t="s">
        <v>1850</v>
      </c>
      <c r="BP941" t="s">
        <v>74</v>
      </c>
      <c r="BQ941" t="s">
        <v>74</v>
      </c>
      <c r="BR941" t="s">
        <v>97</v>
      </c>
      <c r="BS941" t="s">
        <v>12383</v>
      </c>
      <c r="BT941" t="str">
        <f>HYPERLINK("https%3A%2F%2Fwww.webofscience.com%2Fwos%2Fwoscc%2Ffull-record%2FWOS:000087960700005","View Full Record in Web of Science")</f>
        <v>View Full Record in Web of Science</v>
      </c>
    </row>
    <row r="942" spans="1:72" x14ac:dyDescent="0.15">
      <c r="A942" t="s">
        <v>72</v>
      </c>
      <c r="B942" t="s">
        <v>10969</v>
      </c>
      <c r="C942" t="s">
        <v>74</v>
      </c>
      <c r="D942" t="s">
        <v>74</v>
      </c>
      <c r="E942" t="s">
        <v>74</v>
      </c>
      <c r="F942" t="s">
        <v>10969</v>
      </c>
      <c r="G942" t="s">
        <v>74</v>
      </c>
      <c r="H942" t="s">
        <v>74</v>
      </c>
      <c r="I942" t="s">
        <v>12384</v>
      </c>
      <c r="J942" t="s">
        <v>2417</v>
      </c>
      <c r="K942" t="s">
        <v>74</v>
      </c>
      <c r="L942" t="s">
        <v>74</v>
      </c>
      <c r="M942" t="s">
        <v>77</v>
      </c>
      <c r="N942" t="s">
        <v>78</v>
      </c>
      <c r="O942" t="s">
        <v>74</v>
      </c>
      <c r="P942" t="s">
        <v>74</v>
      </c>
      <c r="Q942" t="s">
        <v>74</v>
      </c>
      <c r="R942" t="s">
        <v>74</v>
      </c>
      <c r="S942" t="s">
        <v>74</v>
      </c>
      <c r="T942" t="s">
        <v>74</v>
      </c>
      <c r="U942" t="s">
        <v>12385</v>
      </c>
      <c r="V942" t="s">
        <v>12386</v>
      </c>
      <c r="W942" t="s">
        <v>10973</v>
      </c>
      <c r="X942" t="s">
        <v>1365</v>
      </c>
      <c r="Y942" t="s">
        <v>10974</v>
      </c>
      <c r="Z942" t="s">
        <v>74</v>
      </c>
      <c r="AA942" t="s">
        <v>74</v>
      </c>
      <c r="AB942" t="s">
        <v>74</v>
      </c>
      <c r="AC942" t="s">
        <v>74</v>
      </c>
      <c r="AD942" t="s">
        <v>74</v>
      </c>
      <c r="AE942" t="s">
        <v>74</v>
      </c>
      <c r="AF942" t="s">
        <v>74</v>
      </c>
      <c r="AG942">
        <v>25</v>
      </c>
      <c r="AH942">
        <v>33</v>
      </c>
      <c r="AI942">
        <v>37</v>
      </c>
      <c r="AJ942">
        <v>0</v>
      </c>
      <c r="AK942">
        <v>7</v>
      </c>
      <c r="AL942" t="s">
        <v>1842</v>
      </c>
      <c r="AM942" t="s">
        <v>1843</v>
      </c>
      <c r="AN942" t="s">
        <v>1844</v>
      </c>
      <c r="AO942" t="s">
        <v>2423</v>
      </c>
      <c r="AP942" t="s">
        <v>74</v>
      </c>
      <c r="AQ942" t="s">
        <v>74</v>
      </c>
      <c r="AR942" t="s">
        <v>2424</v>
      </c>
      <c r="AS942" t="s">
        <v>2425</v>
      </c>
      <c r="AT942" t="s">
        <v>11711</v>
      </c>
      <c r="AU942">
        <v>2000</v>
      </c>
      <c r="AV942">
        <v>30</v>
      </c>
      <c r="AW942">
        <v>6</v>
      </c>
      <c r="AX942" t="s">
        <v>74</v>
      </c>
      <c r="AY942" t="s">
        <v>74</v>
      </c>
      <c r="AZ942" t="s">
        <v>74</v>
      </c>
      <c r="BA942" t="s">
        <v>74</v>
      </c>
      <c r="BB942">
        <v>1245</v>
      </c>
      <c r="BC942">
        <v>1264</v>
      </c>
      <c r="BD942" t="s">
        <v>74</v>
      </c>
      <c r="BE942" t="s">
        <v>12387</v>
      </c>
      <c r="BF942" t="str">
        <f>HYPERLINK("http://dx.doi.org/10.1175/1520-0485(2000)030&lt;1245:TCRWIT&gt;2.0.CO;2","http://dx.doi.org/10.1175/1520-0485(2000)030&lt;1245:TCRWIT&gt;2.0.CO;2")</f>
        <v>http://dx.doi.org/10.1175/1520-0485(2000)030&lt;1245:TCRWIT&gt;2.0.CO;2</v>
      </c>
      <c r="BG942" t="s">
        <v>74</v>
      </c>
      <c r="BH942" t="s">
        <v>74</v>
      </c>
      <c r="BI942">
        <v>20</v>
      </c>
      <c r="BJ942" t="s">
        <v>252</v>
      </c>
      <c r="BK942" t="s">
        <v>94</v>
      </c>
      <c r="BL942" t="s">
        <v>252</v>
      </c>
      <c r="BM942" t="s">
        <v>12382</v>
      </c>
      <c r="BN942" t="s">
        <v>74</v>
      </c>
      <c r="BO942" t="s">
        <v>1850</v>
      </c>
      <c r="BP942" t="s">
        <v>74</v>
      </c>
      <c r="BQ942" t="s">
        <v>74</v>
      </c>
      <c r="BR942" t="s">
        <v>97</v>
      </c>
      <c r="BS942" t="s">
        <v>12388</v>
      </c>
      <c r="BT942" t="str">
        <f>HYPERLINK("https%3A%2F%2Fwww.webofscience.com%2Fwos%2Fwoscc%2Ffull-record%2FWOS:000087960700008","View Full Record in Web of Science")</f>
        <v>View Full Record in Web of Science</v>
      </c>
    </row>
    <row r="943" spans="1:72" x14ac:dyDescent="0.15">
      <c r="A943" t="s">
        <v>72</v>
      </c>
      <c r="B943" t="s">
        <v>12389</v>
      </c>
      <c r="C943" t="s">
        <v>74</v>
      </c>
      <c r="D943" t="s">
        <v>74</v>
      </c>
      <c r="E943" t="s">
        <v>74</v>
      </c>
      <c r="F943" t="s">
        <v>12389</v>
      </c>
      <c r="G943" t="s">
        <v>74</v>
      </c>
      <c r="H943" t="s">
        <v>74</v>
      </c>
      <c r="I943" t="s">
        <v>12390</v>
      </c>
      <c r="J943" t="s">
        <v>12391</v>
      </c>
      <c r="K943" t="s">
        <v>74</v>
      </c>
      <c r="L943" t="s">
        <v>74</v>
      </c>
      <c r="M943" t="s">
        <v>77</v>
      </c>
      <c r="N943" t="s">
        <v>78</v>
      </c>
      <c r="O943" t="s">
        <v>74</v>
      </c>
      <c r="P943" t="s">
        <v>74</v>
      </c>
      <c r="Q943" t="s">
        <v>74</v>
      </c>
      <c r="R943" t="s">
        <v>74</v>
      </c>
      <c r="S943" t="s">
        <v>74</v>
      </c>
      <c r="T943" t="s">
        <v>12392</v>
      </c>
      <c r="U943" t="s">
        <v>12393</v>
      </c>
      <c r="V943" t="s">
        <v>12394</v>
      </c>
      <c r="W943" t="s">
        <v>12395</v>
      </c>
      <c r="X943" t="s">
        <v>12396</v>
      </c>
      <c r="Y943" t="s">
        <v>12397</v>
      </c>
      <c r="Z943" t="s">
        <v>12398</v>
      </c>
      <c r="AA943" t="s">
        <v>74</v>
      </c>
      <c r="AB943" t="s">
        <v>74</v>
      </c>
      <c r="AC943" t="s">
        <v>74</v>
      </c>
      <c r="AD943" t="s">
        <v>74</v>
      </c>
      <c r="AE943" t="s">
        <v>74</v>
      </c>
      <c r="AF943" t="s">
        <v>74</v>
      </c>
      <c r="AG943">
        <v>17</v>
      </c>
      <c r="AH943">
        <v>5</v>
      </c>
      <c r="AI943">
        <v>5</v>
      </c>
      <c r="AJ943">
        <v>1</v>
      </c>
      <c r="AK943">
        <v>19</v>
      </c>
      <c r="AL943" t="s">
        <v>12399</v>
      </c>
      <c r="AM943" t="s">
        <v>12400</v>
      </c>
      <c r="AN943" t="s">
        <v>12401</v>
      </c>
      <c r="AO943" t="s">
        <v>12402</v>
      </c>
      <c r="AP943" t="s">
        <v>12403</v>
      </c>
      <c r="AQ943" t="s">
        <v>74</v>
      </c>
      <c r="AR943" t="s">
        <v>12404</v>
      </c>
      <c r="AS943" t="s">
        <v>12405</v>
      </c>
      <c r="AT943" t="s">
        <v>11711</v>
      </c>
      <c r="AU943">
        <v>2000</v>
      </c>
      <c r="AV943">
        <v>163</v>
      </c>
      <c r="AW943">
        <v>3</v>
      </c>
      <c r="AX943" t="s">
        <v>74</v>
      </c>
      <c r="AY943" t="s">
        <v>74</v>
      </c>
      <c r="AZ943" t="s">
        <v>74</v>
      </c>
      <c r="BA943" t="s">
        <v>74</v>
      </c>
      <c r="BB943">
        <v>291</v>
      </c>
      <c r="BC943">
        <v>297</v>
      </c>
      <c r="BD943" t="s">
        <v>74</v>
      </c>
      <c r="BE943" t="s">
        <v>12406</v>
      </c>
      <c r="BF943" t="str">
        <f>HYPERLINK("http://dx.doi.org/10.1002/1522-2624(200006)163:3&lt;291::AID-JPLN291&gt;3.0.CO;2-A","http://dx.doi.org/10.1002/1522-2624(200006)163:3&lt;291::AID-JPLN291&gt;3.0.CO;2-A")</f>
        <v>http://dx.doi.org/10.1002/1522-2624(200006)163:3&lt;291::AID-JPLN291&gt;3.0.CO;2-A</v>
      </c>
      <c r="BG943" t="s">
        <v>74</v>
      </c>
      <c r="BH943" t="s">
        <v>74</v>
      </c>
      <c r="BI943">
        <v>7</v>
      </c>
      <c r="BJ943" t="s">
        <v>12407</v>
      </c>
      <c r="BK943" t="s">
        <v>94</v>
      </c>
      <c r="BL943" t="s">
        <v>12408</v>
      </c>
      <c r="BM943" t="s">
        <v>12409</v>
      </c>
      <c r="BN943" t="s">
        <v>74</v>
      </c>
      <c r="BO943" t="s">
        <v>74</v>
      </c>
      <c r="BP943" t="s">
        <v>74</v>
      </c>
      <c r="BQ943" t="s">
        <v>74</v>
      </c>
      <c r="BR943" t="s">
        <v>97</v>
      </c>
      <c r="BS943" t="s">
        <v>12410</v>
      </c>
      <c r="BT943" t="str">
        <f>HYPERLINK("https%3A%2F%2Fwww.webofscience.com%2Fwos%2Fwoscc%2Ffull-record%2FWOS:000087843600008","View Full Record in Web of Science")</f>
        <v>View Full Record in Web of Science</v>
      </c>
    </row>
    <row r="944" spans="1:72" x14ac:dyDescent="0.15">
      <c r="A944" t="s">
        <v>72</v>
      </c>
      <c r="B944" t="s">
        <v>12411</v>
      </c>
      <c r="C944" t="s">
        <v>74</v>
      </c>
      <c r="D944" t="s">
        <v>74</v>
      </c>
      <c r="E944" t="s">
        <v>74</v>
      </c>
      <c r="F944" t="s">
        <v>12411</v>
      </c>
      <c r="G944" t="s">
        <v>74</v>
      </c>
      <c r="H944" t="s">
        <v>74</v>
      </c>
      <c r="I944" t="s">
        <v>12412</v>
      </c>
      <c r="J944" t="s">
        <v>7824</v>
      </c>
      <c r="K944" t="s">
        <v>74</v>
      </c>
      <c r="L944" t="s">
        <v>74</v>
      </c>
      <c r="M944" t="s">
        <v>77</v>
      </c>
      <c r="N944" t="s">
        <v>78</v>
      </c>
      <c r="O944" t="s">
        <v>74</v>
      </c>
      <c r="P944" t="s">
        <v>74</v>
      </c>
      <c r="Q944" t="s">
        <v>74</v>
      </c>
      <c r="R944" t="s">
        <v>74</v>
      </c>
      <c r="S944" t="s">
        <v>74</v>
      </c>
      <c r="T944" t="s">
        <v>74</v>
      </c>
      <c r="U944" t="s">
        <v>12413</v>
      </c>
      <c r="V944" t="s">
        <v>12414</v>
      </c>
      <c r="W944" t="s">
        <v>12415</v>
      </c>
      <c r="X944" t="s">
        <v>12416</v>
      </c>
      <c r="Y944" t="s">
        <v>12417</v>
      </c>
      <c r="Z944" t="s">
        <v>12418</v>
      </c>
      <c r="AA944" t="s">
        <v>12419</v>
      </c>
      <c r="AB944" t="s">
        <v>74</v>
      </c>
      <c r="AC944" t="s">
        <v>74</v>
      </c>
      <c r="AD944" t="s">
        <v>74</v>
      </c>
      <c r="AE944" t="s">
        <v>74</v>
      </c>
      <c r="AF944" t="s">
        <v>74</v>
      </c>
      <c r="AG944">
        <v>34</v>
      </c>
      <c r="AH944">
        <v>18</v>
      </c>
      <c r="AI944">
        <v>19</v>
      </c>
      <c r="AJ944">
        <v>0</v>
      </c>
      <c r="AK944">
        <v>2</v>
      </c>
      <c r="AL944" t="s">
        <v>108</v>
      </c>
      <c r="AM944" t="s">
        <v>160</v>
      </c>
      <c r="AN944" t="s">
        <v>965</v>
      </c>
      <c r="AO944" t="s">
        <v>7829</v>
      </c>
      <c r="AP944" t="s">
        <v>12420</v>
      </c>
      <c r="AQ944" t="s">
        <v>74</v>
      </c>
      <c r="AR944" t="s">
        <v>7830</v>
      </c>
      <c r="AS944" t="s">
        <v>7831</v>
      </c>
      <c r="AT944" t="s">
        <v>11711</v>
      </c>
      <c r="AU944">
        <v>2000</v>
      </c>
      <c r="AV944">
        <v>80</v>
      </c>
      <c r="AW944">
        <v>3</v>
      </c>
      <c r="AX944" t="s">
        <v>74</v>
      </c>
      <c r="AY944" t="s">
        <v>74</v>
      </c>
      <c r="AZ944" t="s">
        <v>74</v>
      </c>
      <c r="BA944" t="s">
        <v>74</v>
      </c>
      <c r="BB944">
        <v>515</v>
      </c>
      <c r="BC944">
        <v>521</v>
      </c>
      <c r="BD944" t="s">
        <v>74</v>
      </c>
      <c r="BE944" t="s">
        <v>12421</v>
      </c>
      <c r="BF944" t="str">
        <f>HYPERLINK("http://dx.doi.org/10.1017/S0025315400002216","http://dx.doi.org/10.1017/S0025315400002216")</f>
        <v>http://dx.doi.org/10.1017/S0025315400002216</v>
      </c>
      <c r="BG944" t="s">
        <v>74</v>
      </c>
      <c r="BH944" t="s">
        <v>74</v>
      </c>
      <c r="BI944">
        <v>7</v>
      </c>
      <c r="BJ944" t="s">
        <v>1259</v>
      </c>
      <c r="BK944" t="s">
        <v>94</v>
      </c>
      <c r="BL944" t="s">
        <v>1259</v>
      </c>
      <c r="BM944" t="s">
        <v>12422</v>
      </c>
      <c r="BN944" t="s">
        <v>74</v>
      </c>
      <c r="BO944" t="s">
        <v>74</v>
      </c>
      <c r="BP944" t="s">
        <v>74</v>
      </c>
      <c r="BQ944" t="s">
        <v>74</v>
      </c>
      <c r="BR944" t="s">
        <v>97</v>
      </c>
      <c r="BS944" t="s">
        <v>12423</v>
      </c>
      <c r="BT944" t="str">
        <f>HYPERLINK("https%3A%2F%2Fwww.webofscience.com%2Fwos%2Fwoscc%2Ffull-record%2FWOS:000088446400014","View Full Record in Web of Science")</f>
        <v>View Full Record in Web of Science</v>
      </c>
    </row>
    <row r="945" spans="1:72" x14ac:dyDescent="0.15">
      <c r="A945" t="s">
        <v>72</v>
      </c>
      <c r="B945" t="s">
        <v>12424</v>
      </c>
      <c r="C945" t="s">
        <v>74</v>
      </c>
      <c r="D945" t="s">
        <v>74</v>
      </c>
      <c r="E945" t="s">
        <v>74</v>
      </c>
      <c r="F945" t="s">
        <v>12424</v>
      </c>
      <c r="G945" t="s">
        <v>74</v>
      </c>
      <c r="H945" t="s">
        <v>74</v>
      </c>
      <c r="I945" t="s">
        <v>12425</v>
      </c>
      <c r="J945" t="s">
        <v>12426</v>
      </c>
      <c r="K945" t="s">
        <v>74</v>
      </c>
      <c r="L945" t="s">
        <v>74</v>
      </c>
      <c r="M945" t="s">
        <v>77</v>
      </c>
      <c r="N945" t="s">
        <v>5419</v>
      </c>
      <c r="O945" t="s">
        <v>74</v>
      </c>
      <c r="P945" t="s">
        <v>74</v>
      </c>
      <c r="Q945" t="s">
        <v>74</v>
      </c>
      <c r="R945" t="s">
        <v>74</v>
      </c>
      <c r="S945" t="s">
        <v>74</v>
      </c>
      <c r="T945" t="s">
        <v>74</v>
      </c>
      <c r="U945" t="s">
        <v>74</v>
      </c>
      <c r="V945" t="s">
        <v>74</v>
      </c>
      <c r="W945" t="s">
        <v>12427</v>
      </c>
      <c r="X945" t="s">
        <v>12428</v>
      </c>
      <c r="Y945" t="s">
        <v>12429</v>
      </c>
      <c r="Z945" t="s">
        <v>74</v>
      </c>
      <c r="AA945" t="s">
        <v>74</v>
      </c>
      <c r="AB945" t="s">
        <v>74</v>
      </c>
      <c r="AC945" t="s">
        <v>74</v>
      </c>
      <c r="AD945" t="s">
        <v>74</v>
      </c>
      <c r="AE945" t="s">
        <v>74</v>
      </c>
      <c r="AF945" t="s">
        <v>74</v>
      </c>
      <c r="AG945">
        <v>1</v>
      </c>
      <c r="AH945">
        <v>0</v>
      </c>
      <c r="AI945">
        <v>0</v>
      </c>
      <c r="AJ945">
        <v>0</v>
      </c>
      <c r="AK945">
        <v>1</v>
      </c>
      <c r="AL945" t="s">
        <v>12430</v>
      </c>
      <c r="AM945" t="s">
        <v>12431</v>
      </c>
      <c r="AN945" t="s">
        <v>12432</v>
      </c>
      <c r="AO945" t="s">
        <v>12433</v>
      </c>
      <c r="AP945" t="s">
        <v>74</v>
      </c>
      <c r="AQ945" t="s">
        <v>74</v>
      </c>
      <c r="AR945" t="s">
        <v>12434</v>
      </c>
      <c r="AS945" t="s">
        <v>12435</v>
      </c>
      <c r="AT945" t="s">
        <v>11692</v>
      </c>
      <c r="AU945">
        <v>2000</v>
      </c>
      <c r="AV945">
        <v>39</v>
      </c>
      <c r="AW945">
        <v>3</v>
      </c>
      <c r="AX945" t="s">
        <v>74</v>
      </c>
      <c r="AY945" t="s">
        <v>74</v>
      </c>
      <c r="AZ945" t="s">
        <v>74</v>
      </c>
      <c r="BA945" t="s">
        <v>74</v>
      </c>
      <c r="BB945">
        <v>108</v>
      </c>
      <c r="BC945">
        <v>108</v>
      </c>
      <c r="BD945" t="s">
        <v>74</v>
      </c>
      <c r="BE945" t="s">
        <v>74</v>
      </c>
      <c r="BF945" t="s">
        <v>74</v>
      </c>
      <c r="BG945" t="s">
        <v>74</v>
      </c>
      <c r="BH945" t="s">
        <v>74</v>
      </c>
      <c r="BI945">
        <v>1</v>
      </c>
      <c r="BJ945" t="s">
        <v>5426</v>
      </c>
      <c r="BK945" t="s">
        <v>5427</v>
      </c>
      <c r="BL945" t="s">
        <v>5426</v>
      </c>
      <c r="BM945" t="s">
        <v>12436</v>
      </c>
      <c r="BN945" t="s">
        <v>74</v>
      </c>
      <c r="BO945" t="s">
        <v>74</v>
      </c>
      <c r="BP945" t="s">
        <v>74</v>
      </c>
      <c r="BQ945" t="s">
        <v>74</v>
      </c>
      <c r="BR945" t="s">
        <v>97</v>
      </c>
      <c r="BS945" t="s">
        <v>12437</v>
      </c>
      <c r="BT945" t="str">
        <f>HYPERLINK("https%3A%2F%2Fwww.webofscience.com%2Fwos%2Fwoscc%2Ffull-record%2FWOS:000088867900042","View Full Record in Web of Science")</f>
        <v>View Full Record in Web of Science</v>
      </c>
    </row>
    <row r="946" spans="1:72" x14ac:dyDescent="0.15">
      <c r="A946" t="s">
        <v>72</v>
      </c>
      <c r="B946" t="s">
        <v>12438</v>
      </c>
      <c r="C946" t="s">
        <v>74</v>
      </c>
      <c r="D946" t="s">
        <v>74</v>
      </c>
      <c r="E946" t="s">
        <v>74</v>
      </c>
      <c r="F946" t="s">
        <v>12438</v>
      </c>
      <c r="G946" t="s">
        <v>74</v>
      </c>
      <c r="H946" t="s">
        <v>74</v>
      </c>
      <c r="I946" t="s">
        <v>12439</v>
      </c>
      <c r="J946" t="s">
        <v>7010</v>
      </c>
      <c r="K946" t="s">
        <v>74</v>
      </c>
      <c r="L946" t="s">
        <v>74</v>
      </c>
      <c r="M946" t="s">
        <v>77</v>
      </c>
      <c r="N946" t="s">
        <v>6591</v>
      </c>
      <c r="O946" t="s">
        <v>74</v>
      </c>
      <c r="P946" t="s">
        <v>74</v>
      </c>
      <c r="Q946" t="s">
        <v>74</v>
      </c>
      <c r="R946" t="s">
        <v>74</v>
      </c>
      <c r="S946" t="s">
        <v>74</v>
      </c>
      <c r="T946" t="s">
        <v>74</v>
      </c>
      <c r="U946" t="s">
        <v>74</v>
      </c>
      <c r="V946" t="s">
        <v>74</v>
      </c>
      <c r="W946" t="s">
        <v>74</v>
      </c>
      <c r="X946" t="s">
        <v>74</v>
      </c>
      <c r="Y946" t="s">
        <v>74</v>
      </c>
      <c r="Z946" t="s">
        <v>74</v>
      </c>
      <c r="AA946" t="s">
        <v>12440</v>
      </c>
      <c r="AB946" t="s">
        <v>74</v>
      </c>
      <c r="AC946" t="s">
        <v>74</v>
      </c>
      <c r="AD946" t="s">
        <v>74</v>
      </c>
      <c r="AE946" t="s">
        <v>74</v>
      </c>
      <c r="AF946" t="s">
        <v>74</v>
      </c>
      <c r="AG946">
        <v>3</v>
      </c>
      <c r="AH946">
        <v>1</v>
      </c>
      <c r="AI946">
        <v>1</v>
      </c>
      <c r="AJ946">
        <v>1</v>
      </c>
      <c r="AK946">
        <v>2</v>
      </c>
      <c r="AL946" t="s">
        <v>7017</v>
      </c>
      <c r="AM946" t="s">
        <v>7018</v>
      </c>
      <c r="AN946" t="s">
        <v>7019</v>
      </c>
      <c r="AO946" t="s">
        <v>7020</v>
      </c>
      <c r="AP946" t="s">
        <v>74</v>
      </c>
      <c r="AQ946" t="s">
        <v>74</v>
      </c>
      <c r="AR946" t="s">
        <v>7021</v>
      </c>
      <c r="AS946" t="s">
        <v>7022</v>
      </c>
      <c r="AT946" t="s">
        <v>11711</v>
      </c>
      <c r="AU946">
        <v>2000</v>
      </c>
      <c r="AV946">
        <v>45</v>
      </c>
      <c r="AW946">
        <v>4</v>
      </c>
      <c r="AX946" t="s">
        <v>74</v>
      </c>
      <c r="AY946" t="s">
        <v>74</v>
      </c>
      <c r="AZ946" t="s">
        <v>74</v>
      </c>
      <c r="BA946" t="s">
        <v>74</v>
      </c>
      <c r="BB946">
        <v>1012</v>
      </c>
      <c r="BC946">
        <v>1012</v>
      </c>
      <c r="BD946" t="s">
        <v>74</v>
      </c>
      <c r="BE946" t="s">
        <v>74</v>
      </c>
      <c r="BF946" t="s">
        <v>74</v>
      </c>
      <c r="BG946" t="s">
        <v>74</v>
      </c>
      <c r="BH946" t="s">
        <v>74</v>
      </c>
      <c r="BI946">
        <v>1</v>
      </c>
      <c r="BJ946" t="s">
        <v>7024</v>
      </c>
      <c r="BK946" t="s">
        <v>94</v>
      </c>
      <c r="BL946" t="s">
        <v>7025</v>
      </c>
      <c r="BM946" t="s">
        <v>12441</v>
      </c>
      <c r="BN946" t="s">
        <v>74</v>
      </c>
      <c r="BO946" t="s">
        <v>74</v>
      </c>
      <c r="BP946" t="s">
        <v>74</v>
      </c>
      <c r="BQ946" t="s">
        <v>74</v>
      </c>
      <c r="BR946" t="s">
        <v>97</v>
      </c>
      <c r="BS946" t="s">
        <v>12442</v>
      </c>
      <c r="BT946" t="str">
        <f>HYPERLINK("https%3A%2F%2Fwww.webofscience.com%2Fwos%2Fwoscc%2Ffull-record%2FWOS:000087558900027","View Full Record in Web of Science")</f>
        <v>View Full Record in Web of Science</v>
      </c>
    </row>
    <row r="947" spans="1:72" x14ac:dyDescent="0.15">
      <c r="A947" t="s">
        <v>72</v>
      </c>
      <c r="B947" t="s">
        <v>12443</v>
      </c>
      <c r="C947" t="s">
        <v>74</v>
      </c>
      <c r="D947" t="s">
        <v>74</v>
      </c>
      <c r="E947" t="s">
        <v>74</v>
      </c>
      <c r="F947" t="s">
        <v>12443</v>
      </c>
      <c r="G947" t="s">
        <v>74</v>
      </c>
      <c r="H947" t="s">
        <v>74</v>
      </c>
      <c r="I947" t="s">
        <v>12444</v>
      </c>
      <c r="J947" t="s">
        <v>12445</v>
      </c>
      <c r="K947" t="s">
        <v>74</v>
      </c>
      <c r="L947" t="s">
        <v>74</v>
      </c>
      <c r="M947" t="s">
        <v>77</v>
      </c>
      <c r="N947" t="s">
        <v>78</v>
      </c>
      <c r="O947" t="s">
        <v>74</v>
      </c>
      <c r="P947" t="s">
        <v>74</v>
      </c>
      <c r="Q947" t="s">
        <v>74</v>
      </c>
      <c r="R947" t="s">
        <v>74</v>
      </c>
      <c r="S947" t="s">
        <v>74</v>
      </c>
      <c r="T947" t="s">
        <v>12446</v>
      </c>
      <c r="U947" t="s">
        <v>12447</v>
      </c>
      <c r="V947" t="s">
        <v>12448</v>
      </c>
      <c r="W947" t="s">
        <v>12449</v>
      </c>
      <c r="X947" t="s">
        <v>12450</v>
      </c>
      <c r="Y947" t="s">
        <v>12451</v>
      </c>
      <c r="Z947" t="s">
        <v>74</v>
      </c>
      <c r="AA947" t="s">
        <v>12452</v>
      </c>
      <c r="AB947" t="s">
        <v>12453</v>
      </c>
      <c r="AC947" t="s">
        <v>74</v>
      </c>
      <c r="AD947" t="s">
        <v>74</v>
      </c>
      <c r="AE947" t="s">
        <v>74</v>
      </c>
      <c r="AF947" t="s">
        <v>74</v>
      </c>
      <c r="AG947">
        <v>47</v>
      </c>
      <c r="AH947">
        <v>44</v>
      </c>
      <c r="AI947">
        <v>57</v>
      </c>
      <c r="AJ947">
        <v>0</v>
      </c>
      <c r="AK947">
        <v>20</v>
      </c>
      <c r="AL947" t="s">
        <v>758</v>
      </c>
      <c r="AM947" t="s">
        <v>246</v>
      </c>
      <c r="AN947" t="s">
        <v>759</v>
      </c>
      <c r="AO947" t="s">
        <v>12454</v>
      </c>
      <c r="AP947" t="s">
        <v>74</v>
      </c>
      <c r="AQ947" t="s">
        <v>74</v>
      </c>
      <c r="AR947" t="s">
        <v>12455</v>
      </c>
      <c r="AS947" t="s">
        <v>12456</v>
      </c>
      <c r="AT947" t="s">
        <v>11711</v>
      </c>
      <c r="AU947">
        <v>2000</v>
      </c>
      <c r="AV947">
        <v>49</v>
      </c>
      <c r="AW947">
        <v>5</v>
      </c>
      <c r="AX947" t="s">
        <v>74</v>
      </c>
      <c r="AY947" t="s">
        <v>74</v>
      </c>
      <c r="AZ947" t="s">
        <v>74</v>
      </c>
      <c r="BA947" t="s">
        <v>74</v>
      </c>
      <c r="BB947">
        <v>403</v>
      </c>
      <c r="BC947">
        <v>417</v>
      </c>
      <c r="BD947" t="s">
        <v>74</v>
      </c>
      <c r="BE947" t="s">
        <v>12457</v>
      </c>
      <c r="BF947" t="str">
        <f>HYPERLINK("http://dx.doi.org/10.1016/S0141-1136(99)00080-X","http://dx.doi.org/10.1016/S0141-1136(99)00080-X")</f>
        <v>http://dx.doi.org/10.1016/S0141-1136(99)00080-X</v>
      </c>
      <c r="BG947" t="s">
        <v>74</v>
      </c>
      <c r="BH947" t="s">
        <v>74</v>
      </c>
      <c r="BI947">
        <v>15</v>
      </c>
      <c r="BJ947" t="s">
        <v>12458</v>
      </c>
      <c r="BK947" t="s">
        <v>94</v>
      </c>
      <c r="BL947" t="s">
        <v>12459</v>
      </c>
      <c r="BM947" t="s">
        <v>12460</v>
      </c>
      <c r="BN947">
        <v>11285720</v>
      </c>
      <c r="BO947" t="s">
        <v>74</v>
      </c>
      <c r="BP947" t="s">
        <v>74</v>
      </c>
      <c r="BQ947" t="s">
        <v>74</v>
      </c>
      <c r="BR947" t="s">
        <v>97</v>
      </c>
      <c r="BS947" t="s">
        <v>12461</v>
      </c>
      <c r="BT947" t="str">
        <f>HYPERLINK("https%3A%2F%2Fwww.webofscience.com%2Fwos%2Fwoscc%2Ffull-record%2FWOS:000087094700001","View Full Record in Web of Science")</f>
        <v>View Full Record in Web of Science</v>
      </c>
    </row>
    <row r="948" spans="1:72" x14ac:dyDescent="0.15">
      <c r="A948" t="s">
        <v>72</v>
      </c>
      <c r="B948" t="s">
        <v>12462</v>
      </c>
      <c r="C948" t="s">
        <v>74</v>
      </c>
      <c r="D948" t="s">
        <v>74</v>
      </c>
      <c r="E948" t="s">
        <v>74</v>
      </c>
      <c r="F948" t="s">
        <v>12462</v>
      </c>
      <c r="G948" t="s">
        <v>74</v>
      </c>
      <c r="H948" t="s">
        <v>74</v>
      </c>
      <c r="I948" t="s">
        <v>12463</v>
      </c>
      <c r="J948" t="s">
        <v>12464</v>
      </c>
      <c r="K948" t="s">
        <v>74</v>
      </c>
      <c r="L948" t="s">
        <v>74</v>
      </c>
      <c r="M948" t="s">
        <v>77</v>
      </c>
      <c r="N948" t="s">
        <v>236</v>
      </c>
      <c r="O948" t="s">
        <v>74</v>
      </c>
      <c r="P948" t="s">
        <v>74</v>
      </c>
      <c r="Q948" t="s">
        <v>74</v>
      </c>
      <c r="R948" t="s">
        <v>74</v>
      </c>
      <c r="S948" t="s">
        <v>74</v>
      </c>
      <c r="T948" t="s">
        <v>12465</v>
      </c>
      <c r="U948" t="s">
        <v>12466</v>
      </c>
      <c r="V948" t="s">
        <v>12467</v>
      </c>
      <c r="W948" t="s">
        <v>12468</v>
      </c>
      <c r="X948" t="s">
        <v>12469</v>
      </c>
      <c r="Y948" t="s">
        <v>12470</v>
      </c>
      <c r="Z948" t="s">
        <v>12471</v>
      </c>
      <c r="AA948" t="s">
        <v>12472</v>
      </c>
      <c r="AB948" t="s">
        <v>12473</v>
      </c>
      <c r="AC948" t="s">
        <v>74</v>
      </c>
      <c r="AD948" t="s">
        <v>74</v>
      </c>
      <c r="AE948" t="s">
        <v>74</v>
      </c>
      <c r="AF948" t="s">
        <v>74</v>
      </c>
      <c r="AG948">
        <v>26</v>
      </c>
      <c r="AH948">
        <v>69</v>
      </c>
      <c r="AI948">
        <v>80</v>
      </c>
      <c r="AJ948">
        <v>0</v>
      </c>
      <c r="AK948">
        <v>4</v>
      </c>
      <c r="AL948" t="s">
        <v>6711</v>
      </c>
      <c r="AM948" t="s">
        <v>246</v>
      </c>
      <c r="AN948" t="s">
        <v>6712</v>
      </c>
      <c r="AO948" t="s">
        <v>12474</v>
      </c>
      <c r="AP948" t="s">
        <v>12475</v>
      </c>
      <c r="AQ948" t="s">
        <v>74</v>
      </c>
      <c r="AR948" t="s">
        <v>12476</v>
      </c>
      <c r="AS948" t="s">
        <v>12477</v>
      </c>
      <c r="AT948" t="s">
        <v>11711</v>
      </c>
      <c r="AU948">
        <v>2000</v>
      </c>
      <c r="AV948">
        <v>38</v>
      </c>
      <c r="AW948">
        <v>3</v>
      </c>
      <c r="AX948" t="s">
        <v>74</v>
      </c>
      <c r="AY948" t="s">
        <v>74</v>
      </c>
      <c r="AZ948" t="s">
        <v>74</v>
      </c>
      <c r="BA948" t="s">
        <v>74</v>
      </c>
      <c r="BB948">
        <v>185</v>
      </c>
      <c r="BC948">
        <v>191</v>
      </c>
      <c r="BD948" t="s">
        <v>74</v>
      </c>
      <c r="BE948" t="s">
        <v>12478</v>
      </c>
      <c r="BF948" t="str">
        <f>HYPERLINK("http://dx.doi.org/10.1080/714030941","http://dx.doi.org/10.1080/714030941")</f>
        <v>http://dx.doi.org/10.1080/714030941</v>
      </c>
      <c r="BG948" t="s">
        <v>74</v>
      </c>
      <c r="BH948" t="s">
        <v>74</v>
      </c>
      <c r="BI948">
        <v>7</v>
      </c>
      <c r="BJ948" t="s">
        <v>12479</v>
      </c>
      <c r="BK948" t="s">
        <v>94</v>
      </c>
      <c r="BL948" t="s">
        <v>12479</v>
      </c>
      <c r="BM948" t="s">
        <v>12480</v>
      </c>
      <c r="BN948">
        <v>10892985</v>
      </c>
      <c r="BO948" t="s">
        <v>1755</v>
      </c>
      <c r="BP948" t="s">
        <v>74</v>
      </c>
      <c r="BQ948" t="s">
        <v>74</v>
      </c>
      <c r="BR948" t="s">
        <v>97</v>
      </c>
      <c r="BS948" t="s">
        <v>12481</v>
      </c>
      <c r="BT948" t="str">
        <f>HYPERLINK("https%3A%2F%2Fwww.webofscience.com%2Fwos%2Fwoscc%2Ffull-record%2FWOS:000087916900001","View Full Record in Web of Science")</f>
        <v>View Full Record in Web of Science</v>
      </c>
    </row>
    <row r="949" spans="1:72" x14ac:dyDescent="0.15">
      <c r="A949" t="s">
        <v>72</v>
      </c>
      <c r="B949" t="s">
        <v>12482</v>
      </c>
      <c r="C949" t="s">
        <v>74</v>
      </c>
      <c r="D949" t="s">
        <v>74</v>
      </c>
      <c r="E949" t="s">
        <v>74</v>
      </c>
      <c r="F949" t="s">
        <v>12482</v>
      </c>
      <c r="G949" t="s">
        <v>74</v>
      </c>
      <c r="H949" t="s">
        <v>74</v>
      </c>
      <c r="I949" t="s">
        <v>12483</v>
      </c>
      <c r="J949" t="s">
        <v>7354</v>
      </c>
      <c r="K949" t="s">
        <v>74</v>
      </c>
      <c r="L949" t="s">
        <v>74</v>
      </c>
      <c r="M949" t="s">
        <v>77</v>
      </c>
      <c r="N949" t="s">
        <v>78</v>
      </c>
      <c r="O949" t="s">
        <v>74</v>
      </c>
      <c r="P949" t="s">
        <v>74</v>
      </c>
      <c r="Q949" t="s">
        <v>74</v>
      </c>
      <c r="R949" t="s">
        <v>74</v>
      </c>
      <c r="S949" t="s">
        <v>74</v>
      </c>
      <c r="T949" t="s">
        <v>74</v>
      </c>
      <c r="U949" t="s">
        <v>12484</v>
      </c>
      <c r="V949" t="s">
        <v>12485</v>
      </c>
      <c r="W949" t="s">
        <v>12486</v>
      </c>
      <c r="X949" t="s">
        <v>12487</v>
      </c>
      <c r="Y949" t="s">
        <v>12488</v>
      </c>
      <c r="Z949" t="s">
        <v>12489</v>
      </c>
      <c r="AA949" t="s">
        <v>74</v>
      </c>
      <c r="AB949" t="s">
        <v>12490</v>
      </c>
      <c r="AC949" t="s">
        <v>74</v>
      </c>
      <c r="AD949" t="s">
        <v>74</v>
      </c>
      <c r="AE949" t="s">
        <v>74</v>
      </c>
      <c r="AF949" t="s">
        <v>74</v>
      </c>
      <c r="AG949">
        <v>31</v>
      </c>
      <c r="AH949">
        <v>241</v>
      </c>
      <c r="AI949">
        <v>263</v>
      </c>
      <c r="AJ949">
        <v>0</v>
      </c>
      <c r="AK949">
        <v>40</v>
      </c>
      <c r="AL949" t="s">
        <v>8205</v>
      </c>
      <c r="AM949" t="s">
        <v>1208</v>
      </c>
      <c r="AN949" t="s">
        <v>8206</v>
      </c>
      <c r="AO949" t="s">
        <v>7364</v>
      </c>
      <c r="AP949" t="s">
        <v>8207</v>
      </c>
      <c r="AQ949" t="s">
        <v>74</v>
      </c>
      <c r="AR949" t="s">
        <v>7354</v>
      </c>
      <c r="AS949" t="s">
        <v>7365</v>
      </c>
      <c r="AT949" t="s">
        <v>12142</v>
      </c>
      <c r="AU949">
        <v>2000</v>
      </c>
      <c r="AV949">
        <v>405</v>
      </c>
      <c r="AW949">
        <v>6786</v>
      </c>
      <c r="AX949" t="s">
        <v>74</v>
      </c>
      <c r="AY949" t="s">
        <v>74</v>
      </c>
      <c r="AZ949" t="s">
        <v>74</v>
      </c>
      <c r="BA949" t="s">
        <v>74</v>
      </c>
      <c r="BB949">
        <v>555</v>
      </c>
      <c r="BC949">
        <v>559</v>
      </c>
      <c r="BD949" t="s">
        <v>74</v>
      </c>
      <c r="BE949" t="s">
        <v>12491</v>
      </c>
      <c r="BF949" t="str">
        <f>HYPERLINK("http://dx.doi.org/10.1038/35014581","http://dx.doi.org/10.1038/35014581")</f>
        <v>http://dx.doi.org/10.1038/35014581</v>
      </c>
      <c r="BG949" t="s">
        <v>74</v>
      </c>
      <c r="BH949" t="s">
        <v>74</v>
      </c>
      <c r="BI949">
        <v>5</v>
      </c>
      <c r="BJ949" t="s">
        <v>93</v>
      </c>
      <c r="BK949" t="s">
        <v>94</v>
      </c>
      <c r="BL949" t="s">
        <v>95</v>
      </c>
      <c r="BM949" t="s">
        <v>12492</v>
      </c>
      <c r="BN949">
        <v>10850711</v>
      </c>
      <c r="BO949" t="s">
        <v>74</v>
      </c>
      <c r="BP949" t="s">
        <v>74</v>
      </c>
      <c r="BQ949" t="s">
        <v>74</v>
      </c>
      <c r="BR949" t="s">
        <v>97</v>
      </c>
      <c r="BS949" t="s">
        <v>12493</v>
      </c>
      <c r="BT949" t="str">
        <f>HYPERLINK("https%3A%2F%2Fwww.webofscience.com%2Fwos%2Fwoscc%2Ffull-record%2FWOS:000087449500046","View Full Record in Web of Science")</f>
        <v>View Full Record in Web of Science</v>
      </c>
    </row>
    <row r="950" spans="1:72" x14ac:dyDescent="0.15">
      <c r="A950" t="s">
        <v>72</v>
      </c>
      <c r="B950" t="s">
        <v>12494</v>
      </c>
      <c r="C950" t="s">
        <v>74</v>
      </c>
      <c r="D950" t="s">
        <v>74</v>
      </c>
      <c r="E950" t="s">
        <v>74</v>
      </c>
      <c r="F950" t="s">
        <v>12494</v>
      </c>
      <c r="G950" t="s">
        <v>74</v>
      </c>
      <c r="H950" t="s">
        <v>74</v>
      </c>
      <c r="I950" t="s">
        <v>12495</v>
      </c>
      <c r="J950" t="s">
        <v>12496</v>
      </c>
      <c r="K950" t="s">
        <v>74</v>
      </c>
      <c r="L950" t="s">
        <v>74</v>
      </c>
      <c r="M950" t="s">
        <v>77</v>
      </c>
      <c r="N950" t="s">
        <v>236</v>
      </c>
      <c r="O950" t="s">
        <v>74</v>
      </c>
      <c r="P950" t="s">
        <v>74</v>
      </c>
      <c r="Q950" t="s">
        <v>74</v>
      </c>
      <c r="R950" t="s">
        <v>74</v>
      </c>
      <c r="S950" t="s">
        <v>74</v>
      </c>
      <c r="T950" t="s">
        <v>12497</v>
      </c>
      <c r="U950" t="s">
        <v>12498</v>
      </c>
      <c r="V950" t="s">
        <v>12499</v>
      </c>
      <c r="W950" t="s">
        <v>12500</v>
      </c>
      <c r="X950" t="s">
        <v>12501</v>
      </c>
      <c r="Y950" t="s">
        <v>12502</v>
      </c>
      <c r="Z950" t="s">
        <v>12503</v>
      </c>
      <c r="AA950" t="s">
        <v>74</v>
      </c>
      <c r="AB950" t="s">
        <v>12504</v>
      </c>
      <c r="AC950" t="s">
        <v>74</v>
      </c>
      <c r="AD950" t="s">
        <v>74</v>
      </c>
      <c r="AE950" t="s">
        <v>74</v>
      </c>
      <c r="AF950" t="s">
        <v>74</v>
      </c>
      <c r="AG950">
        <v>209</v>
      </c>
      <c r="AH950">
        <v>40</v>
      </c>
      <c r="AI950">
        <v>45</v>
      </c>
      <c r="AJ950">
        <v>1</v>
      </c>
      <c r="AK950">
        <v>13</v>
      </c>
      <c r="AL950" t="s">
        <v>1039</v>
      </c>
      <c r="AM950" t="s">
        <v>1040</v>
      </c>
      <c r="AN950" t="s">
        <v>1041</v>
      </c>
      <c r="AO950" t="s">
        <v>12505</v>
      </c>
      <c r="AP950" t="s">
        <v>12506</v>
      </c>
      <c r="AQ950" t="s">
        <v>74</v>
      </c>
      <c r="AR950" t="s">
        <v>12507</v>
      </c>
      <c r="AS950" t="s">
        <v>12508</v>
      </c>
      <c r="AT950" t="s">
        <v>11711</v>
      </c>
      <c r="AU950">
        <v>2000</v>
      </c>
      <c r="AV950">
        <v>38</v>
      </c>
      <c r="AW950">
        <v>2</v>
      </c>
      <c r="AX950" t="s">
        <v>74</v>
      </c>
      <c r="AY950" t="s">
        <v>74</v>
      </c>
      <c r="AZ950" t="s">
        <v>74</v>
      </c>
      <c r="BA950" t="s">
        <v>74</v>
      </c>
      <c r="BB950">
        <v>265</v>
      </c>
      <c r="BC950">
        <v>323</v>
      </c>
      <c r="BD950" t="s">
        <v>74</v>
      </c>
      <c r="BE950" t="s">
        <v>74</v>
      </c>
      <c r="BF950" t="s">
        <v>74</v>
      </c>
      <c r="BG950" t="s">
        <v>74</v>
      </c>
      <c r="BH950" t="s">
        <v>74</v>
      </c>
      <c r="BI950">
        <v>59</v>
      </c>
      <c r="BJ950" t="s">
        <v>3818</v>
      </c>
      <c r="BK950" t="s">
        <v>94</v>
      </c>
      <c r="BL950" t="s">
        <v>3818</v>
      </c>
      <c r="BM950" t="s">
        <v>12509</v>
      </c>
      <c r="BN950" t="s">
        <v>74</v>
      </c>
      <c r="BO950" t="s">
        <v>74</v>
      </c>
      <c r="BP950" t="s">
        <v>74</v>
      </c>
      <c r="BQ950" t="s">
        <v>74</v>
      </c>
      <c r="BR950" t="s">
        <v>97</v>
      </c>
      <c r="BS950" t="s">
        <v>12510</v>
      </c>
      <c r="BT950" t="str">
        <f>HYPERLINK("https%3A%2F%2Fwww.webofscience.com%2Fwos%2Fwoscc%2Ffull-record%2FWOS:000088373500009","View Full Record in Web of Science")</f>
        <v>View Full Record in Web of Science</v>
      </c>
    </row>
    <row r="951" spans="1:72" x14ac:dyDescent="0.15">
      <c r="A951" t="s">
        <v>72</v>
      </c>
      <c r="B951" t="s">
        <v>12511</v>
      </c>
      <c r="C951" t="s">
        <v>74</v>
      </c>
      <c r="D951" t="s">
        <v>74</v>
      </c>
      <c r="E951" t="s">
        <v>74</v>
      </c>
      <c r="F951" t="s">
        <v>12511</v>
      </c>
      <c r="G951" t="s">
        <v>74</v>
      </c>
      <c r="H951" t="s">
        <v>74</v>
      </c>
      <c r="I951" t="s">
        <v>12512</v>
      </c>
      <c r="J951" t="s">
        <v>5881</v>
      </c>
      <c r="K951" t="s">
        <v>74</v>
      </c>
      <c r="L951" t="s">
        <v>74</v>
      </c>
      <c r="M951" t="s">
        <v>77</v>
      </c>
      <c r="N951" t="s">
        <v>78</v>
      </c>
      <c r="O951" t="s">
        <v>74</v>
      </c>
      <c r="P951" t="s">
        <v>74</v>
      </c>
      <c r="Q951" t="s">
        <v>74</v>
      </c>
      <c r="R951" t="s">
        <v>74</v>
      </c>
      <c r="S951" t="s">
        <v>74</v>
      </c>
      <c r="T951" t="s">
        <v>12513</v>
      </c>
      <c r="U951" t="s">
        <v>12514</v>
      </c>
      <c r="V951" t="s">
        <v>12515</v>
      </c>
      <c r="W951" t="s">
        <v>885</v>
      </c>
      <c r="X951" t="s">
        <v>221</v>
      </c>
      <c r="Y951" t="s">
        <v>12516</v>
      </c>
      <c r="Z951" t="s">
        <v>74</v>
      </c>
      <c r="AA951" t="s">
        <v>74</v>
      </c>
      <c r="AB951" t="s">
        <v>74</v>
      </c>
      <c r="AC951" t="s">
        <v>74</v>
      </c>
      <c r="AD951" t="s">
        <v>74</v>
      </c>
      <c r="AE951" t="s">
        <v>74</v>
      </c>
      <c r="AF951" t="s">
        <v>74</v>
      </c>
      <c r="AG951">
        <v>50</v>
      </c>
      <c r="AH951">
        <v>19</v>
      </c>
      <c r="AI951">
        <v>22</v>
      </c>
      <c r="AJ951">
        <v>0</v>
      </c>
      <c r="AK951">
        <v>5</v>
      </c>
      <c r="AL951" t="s">
        <v>5889</v>
      </c>
      <c r="AM951" t="s">
        <v>5890</v>
      </c>
      <c r="AN951" t="s">
        <v>5891</v>
      </c>
      <c r="AO951" t="s">
        <v>5892</v>
      </c>
      <c r="AP951" t="s">
        <v>74</v>
      </c>
      <c r="AQ951" t="s">
        <v>74</v>
      </c>
      <c r="AR951" t="s">
        <v>5893</v>
      </c>
      <c r="AS951" t="s">
        <v>5894</v>
      </c>
      <c r="AT951" t="s">
        <v>11711</v>
      </c>
      <c r="AU951">
        <v>2000</v>
      </c>
      <c r="AV951">
        <v>43</v>
      </c>
      <c r="AW951">
        <v>2</v>
      </c>
      <c r="AX951" t="s">
        <v>74</v>
      </c>
      <c r="AY951" t="s">
        <v>74</v>
      </c>
      <c r="AZ951" t="s">
        <v>74</v>
      </c>
      <c r="BA951" t="s">
        <v>74</v>
      </c>
      <c r="BB951">
        <v>247</v>
      </c>
      <c r="BC951">
        <v>254</v>
      </c>
      <c r="BD951" t="s">
        <v>74</v>
      </c>
      <c r="BE951" t="s">
        <v>12517</v>
      </c>
      <c r="BF951" t="str">
        <f>HYPERLINK("http://dx.doi.org/10.1080/00288306.2000.9514884","http://dx.doi.org/10.1080/00288306.2000.9514884")</f>
        <v>http://dx.doi.org/10.1080/00288306.2000.9514884</v>
      </c>
      <c r="BG951" t="s">
        <v>74</v>
      </c>
      <c r="BH951" t="s">
        <v>74</v>
      </c>
      <c r="BI951">
        <v>8</v>
      </c>
      <c r="BJ951" t="s">
        <v>5896</v>
      </c>
      <c r="BK951" t="s">
        <v>94</v>
      </c>
      <c r="BL951" t="s">
        <v>597</v>
      </c>
      <c r="BM951" t="s">
        <v>12518</v>
      </c>
      <c r="BN951" t="s">
        <v>74</v>
      </c>
      <c r="BO951" t="s">
        <v>74</v>
      </c>
      <c r="BP951" t="s">
        <v>74</v>
      </c>
      <c r="BQ951" t="s">
        <v>74</v>
      </c>
      <c r="BR951" t="s">
        <v>97</v>
      </c>
      <c r="BS951" t="s">
        <v>12519</v>
      </c>
      <c r="BT951" t="str">
        <f>HYPERLINK("https%3A%2F%2Fwww.webofscience.com%2Fwos%2Fwoscc%2Ffull-record%2FWOS:000088379700009","View Full Record in Web of Science")</f>
        <v>View Full Record in Web of Science</v>
      </c>
    </row>
    <row r="952" spans="1:72" x14ac:dyDescent="0.15">
      <c r="A952" t="s">
        <v>72</v>
      </c>
      <c r="B952" t="s">
        <v>12520</v>
      </c>
      <c r="C952" t="s">
        <v>74</v>
      </c>
      <c r="D952" t="s">
        <v>74</v>
      </c>
      <c r="E952" t="s">
        <v>74</v>
      </c>
      <c r="F952" t="s">
        <v>12520</v>
      </c>
      <c r="G952" t="s">
        <v>74</v>
      </c>
      <c r="H952" t="s">
        <v>74</v>
      </c>
      <c r="I952" t="s">
        <v>12521</v>
      </c>
      <c r="J952" t="s">
        <v>12522</v>
      </c>
      <c r="K952" t="s">
        <v>74</v>
      </c>
      <c r="L952" t="s">
        <v>74</v>
      </c>
      <c r="M952" t="s">
        <v>77</v>
      </c>
      <c r="N952" t="s">
        <v>78</v>
      </c>
      <c r="O952" t="s">
        <v>74</v>
      </c>
      <c r="P952" t="s">
        <v>74</v>
      </c>
      <c r="Q952" t="s">
        <v>74</v>
      </c>
      <c r="R952" t="s">
        <v>74</v>
      </c>
      <c r="S952" t="s">
        <v>74</v>
      </c>
      <c r="T952" t="s">
        <v>12523</v>
      </c>
      <c r="U952" t="s">
        <v>12524</v>
      </c>
      <c r="V952" t="s">
        <v>12525</v>
      </c>
      <c r="W952" t="s">
        <v>12526</v>
      </c>
      <c r="X952" t="s">
        <v>2468</v>
      </c>
      <c r="Y952" t="s">
        <v>12527</v>
      </c>
      <c r="Z952" t="s">
        <v>74</v>
      </c>
      <c r="AA952" t="s">
        <v>12528</v>
      </c>
      <c r="AB952" t="s">
        <v>12529</v>
      </c>
      <c r="AC952" t="s">
        <v>74</v>
      </c>
      <c r="AD952" t="s">
        <v>74</v>
      </c>
      <c r="AE952" t="s">
        <v>74</v>
      </c>
      <c r="AF952" t="s">
        <v>74</v>
      </c>
      <c r="AG952">
        <v>15</v>
      </c>
      <c r="AH952">
        <v>8</v>
      </c>
      <c r="AI952">
        <v>9</v>
      </c>
      <c r="AJ952">
        <v>0</v>
      </c>
      <c r="AK952">
        <v>12</v>
      </c>
      <c r="AL952" t="s">
        <v>5889</v>
      </c>
      <c r="AM952" t="s">
        <v>5890</v>
      </c>
      <c r="AN952" t="s">
        <v>5891</v>
      </c>
      <c r="AO952" t="s">
        <v>12530</v>
      </c>
      <c r="AP952" t="s">
        <v>74</v>
      </c>
      <c r="AQ952" t="s">
        <v>74</v>
      </c>
      <c r="AR952" t="s">
        <v>12531</v>
      </c>
      <c r="AS952" t="s">
        <v>12532</v>
      </c>
      <c r="AT952" t="s">
        <v>11711</v>
      </c>
      <c r="AU952">
        <v>2000</v>
      </c>
      <c r="AV952">
        <v>27</v>
      </c>
      <c r="AW952">
        <v>2</v>
      </c>
      <c r="AX952" t="s">
        <v>74</v>
      </c>
      <c r="AY952" t="s">
        <v>74</v>
      </c>
      <c r="AZ952" t="s">
        <v>74</v>
      </c>
      <c r="BA952" t="s">
        <v>74</v>
      </c>
      <c r="BB952">
        <v>137</v>
      </c>
      <c r="BC952">
        <v>142</v>
      </c>
      <c r="BD952" t="s">
        <v>74</v>
      </c>
      <c r="BE952" t="s">
        <v>12533</v>
      </c>
      <c r="BF952" t="str">
        <f>HYPERLINK("http://dx.doi.org/10.1080/03014223.2000.9518219","http://dx.doi.org/10.1080/03014223.2000.9518219")</f>
        <v>http://dx.doi.org/10.1080/03014223.2000.9518219</v>
      </c>
      <c r="BG952" t="s">
        <v>74</v>
      </c>
      <c r="BH952" t="s">
        <v>74</v>
      </c>
      <c r="BI952">
        <v>6</v>
      </c>
      <c r="BJ952" t="s">
        <v>206</v>
      </c>
      <c r="BK952" t="s">
        <v>94</v>
      </c>
      <c r="BL952" t="s">
        <v>206</v>
      </c>
      <c r="BM952" t="s">
        <v>12534</v>
      </c>
      <c r="BN952" t="s">
        <v>74</v>
      </c>
      <c r="BO952" t="s">
        <v>74</v>
      </c>
      <c r="BP952" t="s">
        <v>74</v>
      </c>
      <c r="BQ952" t="s">
        <v>74</v>
      </c>
      <c r="BR952" t="s">
        <v>97</v>
      </c>
      <c r="BS952" t="s">
        <v>12535</v>
      </c>
      <c r="BT952" t="str">
        <f>HYPERLINK("https%3A%2F%2Fwww.webofscience.com%2Fwos%2Fwoscc%2Ffull-record%2FWOS:000088404700007","View Full Record in Web of Science")</f>
        <v>View Full Record in Web of Science</v>
      </c>
    </row>
    <row r="953" spans="1:72" x14ac:dyDescent="0.15">
      <c r="A953" t="s">
        <v>72</v>
      </c>
      <c r="B953" t="s">
        <v>12536</v>
      </c>
      <c r="C953" t="s">
        <v>74</v>
      </c>
      <c r="D953" t="s">
        <v>74</v>
      </c>
      <c r="E953" t="s">
        <v>74</v>
      </c>
      <c r="F953" t="s">
        <v>12536</v>
      </c>
      <c r="G953" t="s">
        <v>74</v>
      </c>
      <c r="H953" t="s">
        <v>74</v>
      </c>
      <c r="I953" t="s">
        <v>12537</v>
      </c>
      <c r="J953" t="s">
        <v>12538</v>
      </c>
      <c r="K953" t="s">
        <v>74</v>
      </c>
      <c r="L953" t="s">
        <v>74</v>
      </c>
      <c r="M953" t="s">
        <v>77</v>
      </c>
      <c r="N953" t="s">
        <v>78</v>
      </c>
      <c r="O953" t="s">
        <v>74</v>
      </c>
      <c r="P953" t="s">
        <v>74</v>
      </c>
      <c r="Q953" t="s">
        <v>74</v>
      </c>
      <c r="R953" t="s">
        <v>74</v>
      </c>
      <c r="S953" t="s">
        <v>74</v>
      </c>
      <c r="T953" t="s">
        <v>12539</v>
      </c>
      <c r="U953" t="s">
        <v>12540</v>
      </c>
      <c r="V953" t="s">
        <v>12541</v>
      </c>
      <c r="W953" t="s">
        <v>12542</v>
      </c>
      <c r="X953" t="s">
        <v>12543</v>
      </c>
      <c r="Y953" t="s">
        <v>12544</v>
      </c>
      <c r="Z953" t="s">
        <v>74</v>
      </c>
      <c r="AA953" t="s">
        <v>74</v>
      </c>
      <c r="AB953" t="s">
        <v>74</v>
      </c>
      <c r="AC953" t="s">
        <v>74</v>
      </c>
      <c r="AD953" t="s">
        <v>74</v>
      </c>
      <c r="AE953" t="s">
        <v>74</v>
      </c>
      <c r="AF953" t="s">
        <v>74</v>
      </c>
      <c r="AG953">
        <v>38</v>
      </c>
      <c r="AH953">
        <v>2</v>
      </c>
      <c r="AI953">
        <v>2</v>
      </c>
      <c r="AJ953">
        <v>1</v>
      </c>
      <c r="AK953">
        <v>1</v>
      </c>
      <c r="AL953" t="s">
        <v>12545</v>
      </c>
      <c r="AM953" t="s">
        <v>3627</v>
      </c>
      <c r="AN953" t="s">
        <v>12546</v>
      </c>
      <c r="AO953" t="s">
        <v>12547</v>
      </c>
      <c r="AP953" t="s">
        <v>74</v>
      </c>
      <c r="AQ953" t="s">
        <v>74</v>
      </c>
      <c r="AR953" t="s">
        <v>12548</v>
      </c>
      <c r="AS953" t="s">
        <v>12549</v>
      </c>
      <c r="AT953" t="s">
        <v>11711</v>
      </c>
      <c r="AU953">
        <v>2000</v>
      </c>
      <c r="AV953">
        <v>39</v>
      </c>
      <c r="AW953">
        <v>6</v>
      </c>
      <c r="AX953" t="s">
        <v>74</v>
      </c>
      <c r="AY953" t="s">
        <v>74</v>
      </c>
      <c r="AZ953" t="s">
        <v>74</v>
      </c>
      <c r="BA953" t="s">
        <v>74</v>
      </c>
      <c r="BB953">
        <v>1527</v>
      </c>
      <c r="BC953">
        <v>1535</v>
      </c>
      <c r="BD953" t="s">
        <v>74</v>
      </c>
      <c r="BE953" t="s">
        <v>12550</v>
      </c>
      <c r="BF953" t="str">
        <f>HYPERLINK("http://dx.doi.org/10.1117/1.602525","http://dx.doi.org/10.1117/1.602525")</f>
        <v>http://dx.doi.org/10.1117/1.602525</v>
      </c>
      <c r="BG953" t="s">
        <v>74</v>
      </c>
      <c r="BH953" t="s">
        <v>74</v>
      </c>
      <c r="BI953">
        <v>9</v>
      </c>
      <c r="BJ953" t="s">
        <v>12551</v>
      </c>
      <c r="BK953" t="s">
        <v>94</v>
      </c>
      <c r="BL953" t="s">
        <v>12551</v>
      </c>
      <c r="BM953" t="s">
        <v>12552</v>
      </c>
      <c r="BN953" t="s">
        <v>74</v>
      </c>
      <c r="BO953" t="s">
        <v>74</v>
      </c>
      <c r="BP953" t="s">
        <v>74</v>
      </c>
      <c r="BQ953" t="s">
        <v>74</v>
      </c>
      <c r="BR953" t="s">
        <v>97</v>
      </c>
      <c r="BS953" t="s">
        <v>12553</v>
      </c>
      <c r="BT953" t="str">
        <f>HYPERLINK("https%3A%2F%2Fwww.webofscience.com%2Fwos%2Fwoscc%2Ffull-record%2FWOS:000087526000013","View Full Record in Web of Science")</f>
        <v>View Full Record in Web of Science</v>
      </c>
    </row>
    <row r="954" spans="1:72" x14ac:dyDescent="0.15">
      <c r="A954" t="s">
        <v>72</v>
      </c>
      <c r="B954" t="s">
        <v>12554</v>
      </c>
      <c r="C954" t="s">
        <v>74</v>
      </c>
      <c r="D954" t="s">
        <v>74</v>
      </c>
      <c r="E954" t="s">
        <v>74</v>
      </c>
      <c r="F954" t="s">
        <v>12554</v>
      </c>
      <c r="G954" t="s">
        <v>74</v>
      </c>
      <c r="H954" t="s">
        <v>74</v>
      </c>
      <c r="I954" t="s">
        <v>12555</v>
      </c>
      <c r="J954" t="s">
        <v>3842</v>
      </c>
      <c r="K954" t="s">
        <v>74</v>
      </c>
      <c r="L954" t="s">
        <v>74</v>
      </c>
      <c r="M954" t="s">
        <v>77</v>
      </c>
      <c r="N954" t="s">
        <v>78</v>
      </c>
      <c r="O954" t="s">
        <v>74</v>
      </c>
      <c r="P954" t="s">
        <v>74</v>
      </c>
      <c r="Q954" t="s">
        <v>74</v>
      </c>
      <c r="R954" t="s">
        <v>74</v>
      </c>
      <c r="S954" t="s">
        <v>74</v>
      </c>
      <c r="T954" t="s">
        <v>74</v>
      </c>
      <c r="U954" t="s">
        <v>12556</v>
      </c>
      <c r="V954" t="s">
        <v>12557</v>
      </c>
      <c r="W954" t="s">
        <v>833</v>
      </c>
      <c r="X954" t="s">
        <v>221</v>
      </c>
      <c r="Y954" t="s">
        <v>12558</v>
      </c>
      <c r="Z954" t="s">
        <v>74</v>
      </c>
      <c r="AA954" t="s">
        <v>12559</v>
      </c>
      <c r="AB954" t="s">
        <v>3078</v>
      </c>
      <c r="AC954" t="s">
        <v>74</v>
      </c>
      <c r="AD954" t="s">
        <v>74</v>
      </c>
      <c r="AE954" t="s">
        <v>74</v>
      </c>
      <c r="AF954" t="s">
        <v>74</v>
      </c>
      <c r="AG954">
        <v>37</v>
      </c>
      <c r="AH954">
        <v>27</v>
      </c>
      <c r="AI954">
        <v>28</v>
      </c>
      <c r="AJ954">
        <v>0</v>
      </c>
      <c r="AK954">
        <v>5</v>
      </c>
      <c r="AL954" t="s">
        <v>10006</v>
      </c>
      <c r="AM954" t="s">
        <v>160</v>
      </c>
      <c r="AN954" t="s">
        <v>161</v>
      </c>
      <c r="AO954" t="s">
        <v>3848</v>
      </c>
      <c r="AP954" t="s">
        <v>74</v>
      </c>
      <c r="AQ954" t="s">
        <v>74</v>
      </c>
      <c r="AR954" t="s">
        <v>3849</v>
      </c>
      <c r="AS954" t="s">
        <v>3850</v>
      </c>
      <c r="AT954" t="s">
        <v>11711</v>
      </c>
      <c r="AU954">
        <v>2000</v>
      </c>
      <c r="AV954">
        <v>23</v>
      </c>
      <c r="AW954">
        <v>6</v>
      </c>
      <c r="AX954" t="s">
        <v>74</v>
      </c>
      <c r="AY954" t="s">
        <v>74</v>
      </c>
      <c r="AZ954" t="s">
        <v>74</v>
      </c>
      <c r="BA954" t="s">
        <v>74</v>
      </c>
      <c r="BB954">
        <v>373</v>
      </c>
      <c r="BC954">
        <v>382</v>
      </c>
      <c r="BD954" t="s">
        <v>74</v>
      </c>
      <c r="BE954" t="s">
        <v>12560</v>
      </c>
      <c r="BF954" t="str">
        <f>HYPERLINK("http://dx.doi.org/10.1007/s003000050458","http://dx.doi.org/10.1007/s003000050458")</f>
        <v>http://dx.doi.org/10.1007/s003000050458</v>
      </c>
      <c r="BG954" t="s">
        <v>74</v>
      </c>
      <c r="BH954" t="s">
        <v>74</v>
      </c>
      <c r="BI954">
        <v>10</v>
      </c>
      <c r="BJ954" t="s">
        <v>3852</v>
      </c>
      <c r="BK954" t="s">
        <v>94</v>
      </c>
      <c r="BL954" t="s">
        <v>1103</v>
      </c>
      <c r="BM954" t="s">
        <v>12561</v>
      </c>
      <c r="BN954" t="s">
        <v>74</v>
      </c>
      <c r="BO954" t="s">
        <v>74</v>
      </c>
      <c r="BP954" t="s">
        <v>74</v>
      </c>
      <c r="BQ954" t="s">
        <v>74</v>
      </c>
      <c r="BR954" t="s">
        <v>97</v>
      </c>
      <c r="BS954" t="s">
        <v>12562</v>
      </c>
      <c r="BT954" t="str">
        <f>HYPERLINK("https%3A%2F%2Fwww.webofscience.com%2Fwos%2Fwoscc%2Ffull-record%2FWOS:000087583200001","View Full Record in Web of Science")</f>
        <v>View Full Record in Web of Science</v>
      </c>
    </row>
    <row r="955" spans="1:72" x14ac:dyDescent="0.15">
      <c r="A955" t="s">
        <v>72</v>
      </c>
      <c r="B955" t="s">
        <v>12563</v>
      </c>
      <c r="C955" t="s">
        <v>74</v>
      </c>
      <c r="D955" t="s">
        <v>74</v>
      </c>
      <c r="E955" t="s">
        <v>74</v>
      </c>
      <c r="F955" t="s">
        <v>12563</v>
      </c>
      <c r="G955" t="s">
        <v>74</v>
      </c>
      <c r="H955" t="s">
        <v>74</v>
      </c>
      <c r="I955" t="s">
        <v>12564</v>
      </c>
      <c r="J955" t="s">
        <v>3842</v>
      </c>
      <c r="K955" t="s">
        <v>74</v>
      </c>
      <c r="L955" t="s">
        <v>74</v>
      </c>
      <c r="M955" t="s">
        <v>77</v>
      </c>
      <c r="N955" t="s">
        <v>78</v>
      </c>
      <c r="O955" t="s">
        <v>74</v>
      </c>
      <c r="P955" t="s">
        <v>74</v>
      </c>
      <c r="Q955" t="s">
        <v>74</v>
      </c>
      <c r="R955" t="s">
        <v>74</v>
      </c>
      <c r="S955" t="s">
        <v>74</v>
      </c>
      <c r="T955" t="s">
        <v>74</v>
      </c>
      <c r="U955" t="s">
        <v>12565</v>
      </c>
      <c r="V955" t="s">
        <v>12566</v>
      </c>
      <c r="W955" t="s">
        <v>12567</v>
      </c>
      <c r="X955" t="s">
        <v>12568</v>
      </c>
      <c r="Y955" t="s">
        <v>12569</v>
      </c>
      <c r="Z955" t="s">
        <v>12570</v>
      </c>
      <c r="AA955" t="s">
        <v>12571</v>
      </c>
      <c r="AB955" t="s">
        <v>12572</v>
      </c>
      <c r="AC955" t="s">
        <v>74</v>
      </c>
      <c r="AD955" t="s">
        <v>74</v>
      </c>
      <c r="AE955" t="s">
        <v>74</v>
      </c>
      <c r="AF955" t="s">
        <v>74</v>
      </c>
      <c r="AG955">
        <v>23</v>
      </c>
      <c r="AH955">
        <v>14</v>
      </c>
      <c r="AI955">
        <v>16</v>
      </c>
      <c r="AJ955">
        <v>0</v>
      </c>
      <c r="AK955">
        <v>9</v>
      </c>
      <c r="AL955" t="s">
        <v>906</v>
      </c>
      <c r="AM955" t="s">
        <v>160</v>
      </c>
      <c r="AN955" t="s">
        <v>890</v>
      </c>
      <c r="AO955" t="s">
        <v>3848</v>
      </c>
      <c r="AP955" t="s">
        <v>3871</v>
      </c>
      <c r="AQ955" t="s">
        <v>74</v>
      </c>
      <c r="AR955" t="s">
        <v>3849</v>
      </c>
      <c r="AS955" t="s">
        <v>3850</v>
      </c>
      <c r="AT955" t="s">
        <v>11711</v>
      </c>
      <c r="AU955">
        <v>2000</v>
      </c>
      <c r="AV955">
        <v>23</v>
      </c>
      <c r="AW955">
        <v>6</v>
      </c>
      <c r="AX955" t="s">
        <v>74</v>
      </c>
      <c r="AY955" t="s">
        <v>74</v>
      </c>
      <c r="AZ955" t="s">
        <v>74</v>
      </c>
      <c r="BA955" t="s">
        <v>74</v>
      </c>
      <c r="BB955">
        <v>383</v>
      </c>
      <c r="BC955">
        <v>391</v>
      </c>
      <c r="BD955" t="s">
        <v>74</v>
      </c>
      <c r="BE955" t="s">
        <v>12573</v>
      </c>
      <c r="BF955" t="str">
        <f>HYPERLINK("http://dx.doi.org/10.1007/s003000050459","http://dx.doi.org/10.1007/s003000050459")</f>
        <v>http://dx.doi.org/10.1007/s003000050459</v>
      </c>
      <c r="BG955" t="s">
        <v>74</v>
      </c>
      <c r="BH955" t="s">
        <v>74</v>
      </c>
      <c r="BI955">
        <v>9</v>
      </c>
      <c r="BJ955" t="s">
        <v>3852</v>
      </c>
      <c r="BK955" t="s">
        <v>94</v>
      </c>
      <c r="BL955" t="s">
        <v>1103</v>
      </c>
      <c r="BM955" t="s">
        <v>12561</v>
      </c>
      <c r="BN955" t="s">
        <v>74</v>
      </c>
      <c r="BO955" t="s">
        <v>74</v>
      </c>
      <c r="BP955" t="s">
        <v>74</v>
      </c>
      <c r="BQ955" t="s">
        <v>74</v>
      </c>
      <c r="BR955" t="s">
        <v>97</v>
      </c>
      <c r="BS955" t="s">
        <v>12574</v>
      </c>
      <c r="BT955" t="str">
        <f>HYPERLINK("https%3A%2F%2Fwww.webofscience.com%2Fwos%2Fwoscc%2Ffull-record%2FWOS:000087583200002","View Full Record in Web of Science")</f>
        <v>View Full Record in Web of Science</v>
      </c>
    </row>
    <row r="956" spans="1:72" x14ac:dyDescent="0.15">
      <c r="A956" t="s">
        <v>72</v>
      </c>
      <c r="B956" t="s">
        <v>12575</v>
      </c>
      <c r="C956" t="s">
        <v>74</v>
      </c>
      <c r="D956" t="s">
        <v>74</v>
      </c>
      <c r="E956" t="s">
        <v>74</v>
      </c>
      <c r="F956" t="s">
        <v>12575</v>
      </c>
      <c r="G956" t="s">
        <v>74</v>
      </c>
      <c r="H956" t="s">
        <v>74</v>
      </c>
      <c r="I956" t="s">
        <v>12576</v>
      </c>
      <c r="J956" t="s">
        <v>3842</v>
      </c>
      <c r="K956" t="s">
        <v>74</v>
      </c>
      <c r="L956" t="s">
        <v>74</v>
      </c>
      <c r="M956" t="s">
        <v>77</v>
      </c>
      <c r="N956" t="s">
        <v>78</v>
      </c>
      <c r="O956" t="s">
        <v>74</v>
      </c>
      <c r="P956" t="s">
        <v>74</v>
      </c>
      <c r="Q956" t="s">
        <v>74</v>
      </c>
      <c r="R956" t="s">
        <v>74</v>
      </c>
      <c r="S956" t="s">
        <v>74</v>
      </c>
      <c r="T956" t="s">
        <v>74</v>
      </c>
      <c r="U956" t="s">
        <v>12577</v>
      </c>
      <c r="V956" t="s">
        <v>12578</v>
      </c>
      <c r="W956" t="s">
        <v>8767</v>
      </c>
      <c r="X956" t="s">
        <v>8768</v>
      </c>
      <c r="Y956" t="s">
        <v>9374</v>
      </c>
      <c r="Z956" t="s">
        <v>8770</v>
      </c>
      <c r="AA956" t="s">
        <v>12579</v>
      </c>
      <c r="AB956" t="s">
        <v>12580</v>
      </c>
      <c r="AC956" t="s">
        <v>74</v>
      </c>
      <c r="AD956" t="s">
        <v>74</v>
      </c>
      <c r="AE956" t="s">
        <v>74</v>
      </c>
      <c r="AF956" t="s">
        <v>74</v>
      </c>
      <c r="AG956">
        <v>52</v>
      </c>
      <c r="AH956">
        <v>48</v>
      </c>
      <c r="AI956">
        <v>53</v>
      </c>
      <c r="AJ956">
        <v>0</v>
      </c>
      <c r="AK956">
        <v>10</v>
      </c>
      <c r="AL956" t="s">
        <v>906</v>
      </c>
      <c r="AM956" t="s">
        <v>160</v>
      </c>
      <c r="AN956" t="s">
        <v>890</v>
      </c>
      <c r="AO956" t="s">
        <v>3848</v>
      </c>
      <c r="AP956" t="s">
        <v>74</v>
      </c>
      <c r="AQ956" t="s">
        <v>74</v>
      </c>
      <c r="AR956" t="s">
        <v>3849</v>
      </c>
      <c r="AS956" t="s">
        <v>3850</v>
      </c>
      <c r="AT956" t="s">
        <v>11711</v>
      </c>
      <c r="AU956">
        <v>2000</v>
      </c>
      <c r="AV956">
        <v>23</v>
      </c>
      <c r="AW956">
        <v>6</v>
      </c>
      <c r="AX956" t="s">
        <v>74</v>
      </c>
      <c r="AY956" t="s">
        <v>74</v>
      </c>
      <c r="AZ956" t="s">
        <v>74</v>
      </c>
      <c r="BA956" t="s">
        <v>74</v>
      </c>
      <c r="BB956">
        <v>410</v>
      </c>
      <c r="BC956">
        <v>419</v>
      </c>
      <c r="BD956" t="s">
        <v>74</v>
      </c>
      <c r="BE956" t="s">
        <v>12581</v>
      </c>
      <c r="BF956" t="str">
        <f>HYPERLINK("http://dx.doi.org/10.1007/s003000050462","http://dx.doi.org/10.1007/s003000050462")</f>
        <v>http://dx.doi.org/10.1007/s003000050462</v>
      </c>
      <c r="BG956" t="s">
        <v>74</v>
      </c>
      <c r="BH956" t="s">
        <v>74</v>
      </c>
      <c r="BI956">
        <v>10</v>
      </c>
      <c r="BJ956" t="s">
        <v>3852</v>
      </c>
      <c r="BK956" t="s">
        <v>94</v>
      </c>
      <c r="BL956" t="s">
        <v>1103</v>
      </c>
      <c r="BM956" t="s">
        <v>12561</v>
      </c>
      <c r="BN956" t="s">
        <v>74</v>
      </c>
      <c r="BO956" t="s">
        <v>74</v>
      </c>
      <c r="BP956" t="s">
        <v>74</v>
      </c>
      <c r="BQ956" t="s">
        <v>74</v>
      </c>
      <c r="BR956" t="s">
        <v>97</v>
      </c>
      <c r="BS956" t="s">
        <v>12582</v>
      </c>
      <c r="BT956" t="str">
        <f>HYPERLINK("https%3A%2F%2Fwww.webofscience.com%2Fwos%2Fwoscc%2Ffull-record%2FWOS:000087583200005","View Full Record in Web of Science")</f>
        <v>View Full Record in Web of Science</v>
      </c>
    </row>
    <row r="957" spans="1:72" x14ac:dyDescent="0.15">
      <c r="A957" t="s">
        <v>72</v>
      </c>
      <c r="B957" t="s">
        <v>12583</v>
      </c>
      <c r="C957" t="s">
        <v>74</v>
      </c>
      <c r="D957" t="s">
        <v>74</v>
      </c>
      <c r="E957" t="s">
        <v>74</v>
      </c>
      <c r="F957" t="s">
        <v>12583</v>
      </c>
      <c r="G957" t="s">
        <v>74</v>
      </c>
      <c r="H957" t="s">
        <v>74</v>
      </c>
      <c r="I957" t="s">
        <v>12584</v>
      </c>
      <c r="J957" t="s">
        <v>3842</v>
      </c>
      <c r="K957" t="s">
        <v>74</v>
      </c>
      <c r="L957" t="s">
        <v>74</v>
      </c>
      <c r="M957" t="s">
        <v>77</v>
      </c>
      <c r="N957" t="s">
        <v>78</v>
      </c>
      <c r="O957" t="s">
        <v>74</v>
      </c>
      <c r="P957" t="s">
        <v>74</v>
      </c>
      <c r="Q957" t="s">
        <v>74</v>
      </c>
      <c r="R957" t="s">
        <v>74</v>
      </c>
      <c r="S957" t="s">
        <v>74</v>
      </c>
      <c r="T957" t="s">
        <v>74</v>
      </c>
      <c r="U957" t="s">
        <v>12585</v>
      </c>
      <c r="V957" t="s">
        <v>12586</v>
      </c>
      <c r="W957" t="s">
        <v>885</v>
      </c>
      <c r="X957" t="s">
        <v>221</v>
      </c>
      <c r="Y957" t="s">
        <v>1280</v>
      </c>
      <c r="Z957" t="s">
        <v>12587</v>
      </c>
      <c r="AA957" t="s">
        <v>74</v>
      </c>
      <c r="AB957" t="s">
        <v>74</v>
      </c>
      <c r="AC957" t="s">
        <v>74</v>
      </c>
      <c r="AD957" t="s">
        <v>74</v>
      </c>
      <c r="AE957" t="s">
        <v>74</v>
      </c>
      <c r="AF957" t="s">
        <v>74</v>
      </c>
      <c r="AG957">
        <v>58</v>
      </c>
      <c r="AH957">
        <v>39</v>
      </c>
      <c r="AI957">
        <v>43</v>
      </c>
      <c r="AJ957">
        <v>1</v>
      </c>
      <c r="AK957">
        <v>10</v>
      </c>
      <c r="AL957" t="s">
        <v>906</v>
      </c>
      <c r="AM957" t="s">
        <v>160</v>
      </c>
      <c r="AN957" t="s">
        <v>928</v>
      </c>
      <c r="AO957" t="s">
        <v>3848</v>
      </c>
      <c r="AP957" t="s">
        <v>3871</v>
      </c>
      <c r="AQ957" t="s">
        <v>74</v>
      </c>
      <c r="AR957" t="s">
        <v>3849</v>
      </c>
      <c r="AS957" t="s">
        <v>3850</v>
      </c>
      <c r="AT957" t="s">
        <v>11711</v>
      </c>
      <c r="AU957">
        <v>2000</v>
      </c>
      <c r="AV957">
        <v>23</v>
      </c>
      <c r="AW957">
        <v>6</v>
      </c>
      <c r="AX957" t="s">
        <v>74</v>
      </c>
      <c r="AY957" t="s">
        <v>74</v>
      </c>
      <c r="AZ957" t="s">
        <v>74</v>
      </c>
      <c r="BA957" t="s">
        <v>74</v>
      </c>
      <c r="BB957">
        <v>420</v>
      </c>
      <c r="BC957">
        <v>428</v>
      </c>
      <c r="BD957" t="s">
        <v>74</v>
      </c>
      <c r="BE957" t="s">
        <v>12588</v>
      </c>
      <c r="BF957" t="str">
        <f>HYPERLINK("http://dx.doi.org/10.1007/s003000050463","http://dx.doi.org/10.1007/s003000050463")</f>
        <v>http://dx.doi.org/10.1007/s003000050463</v>
      </c>
      <c r="BG957" t="s">
        <v>74</v>
      </c>
      <c r="BH957" t="s">
        <v>74</v>
      </c>
      <c r="BI957">
        <v>9</v>
      </c>
      <c r="BJ957" t="s">
        <v>3852</v>
      </c>
      <c r="BK957" t="s">
        <v>94</v>
      </c>
      <c r="BL957" t="s">
        <v>1103</v>
      </c>
      <c r="BM957" t="s">
        <v>12561</v>
      </c>
      <c r="BN957" t="s">
        <v>74</v>
      </c>
      <c r="BO957" t="s">
        <v>74</v>
      </c>
      <c r="BP957" t="s">
        <v>74</v>
      </c>
      <c r="BQ957" t="s">
        <v>74</v>
      </c>
      <c r="BR957" t="s">
        <v>97</v>
      </c>
      <c r="BS957" t="s">
        <v>12589</v>
      </c>
      <c r="BT957" t="str">
        <f>HYPERLINK("https%3A%2F%2Fwww.webofscience.com%2Fwos%2Fwoscc%2Ffull-record%2FWOS:000087583200006","View Full Record in Web of Science")</f>
        <v>View Full Record in Web of Science</v>
      </c>
    </row>
    <row r="958" spans="1:72" x14ac:dyDescent="0.15">
      <c r="A958" t="s">
        <v>72</v>
      </c>
      <c r="B958" t="s">
        <v>12590</v>
      </c>
      <c r="C958" t="s">
        <v>74</v>
      </c>
      <c r="D958" t="s">
        <v>74</v>
      </c>
      <c r="E958" t="s">
        <v>74</v>
      </c>
      <c r="F958" t="s">
        <v>12590</v>
      </c>
      <c r="G958" t="s">
        <v>74</v>
      </c>
      <c r="H958" t="s">
        <v>74</v>
      </c>
      <c r="I958" t="s">
        <v>12591</v>
      </c>
      <c r="J958" t="s">
        <v>3842</v>
      </c>
      <c r="K958" t="s">
        <v>74</v>
      </c>
      <c r="L958" t="s">
        <v>74</v>
      </c>
      <c r="M958" t="s">
        <v>77</v>
      </c>
      <c r="N958" t="s">
        <v>78</v>
      </c>
      <c r="O958" t="s">
        <v>74</v>
      </c>
      <c r="P958" t="s">
        <v>74</v>
      </c>
      <c r="Q958" t="s">
        <v>74</v>
      </c>
      <c r="R958" t="s">
        <v>74</v>
      </c>
      <c r="S958" t="s">
        <v>74</v>
      </c>
      <c r="T958" t="s">
        <v>74</v>
      </c>
      <c r="U958" t="s">
        <v>12592</v>
      </c>
      <c r="V958" t="s">
        <v>12593</v>
      </c>
      <c r="W958" t="s">
        <v>12594</v>
      </c>
      <c r="X958" t="s">
        <v>12595</v>
      </c>
      <c r="Y958" t="s">
        <v>12596</v>
      </c>
      <c r="Z958" t="s">
        <v>74</v>
      </c>
      <c r="AA958" t="s">
        <v>12597</v>
      </c>
      <c r="AB958" t="s">
        <v>12598</v>
      </c>
      <c r="AC958" t="s">
        <v>74</v>
      </c>
      <c r="AD958" t="s">
        <v>74</v>
      </c>
      <c r="AE958" t="s">
        <v>74</v>
      </c>
      <c r="AF958" t="s">
        <v>74</v>
      </c>
      <c r="AG958">
        <v>21</v>
      </c>
      <c r="AH958">
        <v>41</v>
      </c>
      <c r="AI958">
        <v>44</v>
      </c>
      <c r="AJ958">
        <v>4</v>
      </c>
      <c r="AK958">
        <v>7</v>
      </c>
      <c r="AL958" t="s">
        <v>10006</v>
      </c>
      <c r="AM958" t="s">
        <v>160</v>
      </c>
      <c r="AN958" t="s">
        <v>161</v>
      </c>
      <c r="AO958" t="s">
        <v>3848</v>
      </c>
      <c r="AP958" t="s">
        <v>74</v>
      </c>
      <c r="AQ958" t="s">
        <v>74</v>
      </c>
      <c r="AR958" t="s">
        <v>3849</v>
      </c>
      <c r="AS958" t="s">
        <v>3850</v>
      </c>
      <c r="AT958" t="s">
        <v>11711</v>
      </c>
      <c r="AU958">
        <v>2000</v>
      </c>
      <c r="AV958">
        <v>23</v>
      </c>
      <c r="AW958">
        <v>6</v>
      </c>
      <c r="AX958" t="s">
        <v>74</v>
      </c>
      <c r="AY958" t="s">
        <v>74</v>
      </c>
      <c r="AZ958" t="s">
        <v>74</v>
      </c>
      <c r="BA958" t="s">
        <v>74</v>
      </c>
      <c r="BB958">
        <v>441</v>
      </c>
      <c r="BC958">
        <v>444</v>
      </c>
      <c r="BD958" t="s">
        <v>74</v>
      </c>
      <c r="BE958" t="s">
        <v>12599</v>
      </c>
      <c r="BF958" t="str">
        <f>HYPERLINK("http://dx.doi.org/10.1007/s003000050466","http://dx.doi.org/10.1007/s003000050466")</f>
        <v>http://dx.doi.org/10.1007/s003000050466</v>
      </c>
      <c r="BG958" t="s">
        <v>74</v>
      </c>
      <c r="BH958" t="s">
        <v>74</v>
      </c>
      <c r="BI958">
        <v>4</v>
      </c>
      <c r="BJ958" t="s">
        <v>3852</v>
      </c>
      <c r="BK958" t="s">
        <v>94</v>
      </c>
      <c r="BL958" t="s">
        <v>1103</v>
      </c>
      <c r="BM958" t="s">
        <v>12561</v>
      </c>
      <c r="BN958" t="s">
        <v>74</v>
      </c>
      <c r="BO958" t="s">
        <v>74</v>
      </c>
      <c r="BP958" t="s">
        <v>74</v>
      </c>
      <c r="BQ958" t="s">
        <v>74</v>
      </c>
      <c r="BR958" t="s">
        <v>97</v>
      </c>
      <c r="BS958" t="s">
        <v>12600</v>
      </c>
      <c r="BT958" t="str">
        <f>HYPERLINK("https%3A%2F%2Fwww.webofscience.com%2Fwos%2Fwoscc%2Ffull-record%2FWOS:000087583200009","View Full Record in Web of Science")</f>
        <v>View Full Record in Web of Science</v>
      </c>
    </row>
    <row r="959" spans="1:72" x14ac:dyDescent="0.15">
      <c r="A959" t="s">
        <v>72</v>
      </c>
      <c r="B959" t="s">
        <v>12601</v>
      </c>
      <c r="C959" t="s">
        <v>74</v>
      </c>
      <c r="D959" t="s">
        <v>74</v>
      </c>
      <c r="E959" t="s">
        <v>74</v>
      </c>
      <c r="F959" t="s">
        <v>12601</v>
      </c>
      <c r="G959" t="s">
        <v>74</v>
      </c>
      <c r="H959" t="s">
        <v>74</v>
      </c>
      <c r="I959" t="s">
        <v>12602</v>
      </c>
      <c r="J959" t="s">
        <v>12603</v>
      </c>
      <c r="K959" t="s">
        <v>74</v>
      </c>
      <c r="L959" t="s">
        <v>74</v>
      </c>
      <c r="M959" t="s">
        <v>77</v>
      </c>
      <c r="N959" t="s">
        <v>576</v>
      </c>
      <c r="O959" t="s">
        <v>12604</v>
      </c>
      <c r="P959" t="s">
        <v>12605</v>
      </c>
      <c r="Q959" t="s">
        <v>12606</v>
      </c>
      <c r="R959" t="s">
        <v>74</v>
      </c>
      <c r="S959" t="s">
        <v>74</v>
      </c>
      <c r="T959" t="s">
        <v>12607</v>
      </c>
      <c r="U959" t="s">
        <v>74</v>
      </c>
      <c r="V959" t="s">
        <v>12608</v>
      </c>
      <c r="W959" t="s">
        <v>12609</v>
      </c>
      <c r="X959" t="s">
        <v>12610</v>
      </c>
      <c r="Y959" t="s">
        <v>12611</v>
      </c>
      <c r="Z959" t="s">
        <v>74</v>
      </c>
      <c r="AA959" t="s">
        <v>74</v>
      </c>
      <c r="AB959" t="s">
        <v>74</v>
      </c>
      <c r="AC959" t="s">
        <v>74</v>
      </c>
      <c r="AD959" t="s">
        <v>74</v>
      </c>
      <c r="AE959" t="s">
        <v>74</v>
      </c>
      <c r="AF959" t="s">
        <v>74</v>
      </c>
      <c r="AG959">
        <v>5</v>
      </c>
      <c r="AH959">
        <v>13</v>
      </c>
      <c r="AI959">
        <v>13</v>
      </c>
      <c r="AJ959">
        <v>0</v>
      </c>
      <c r="AK959">
        <v>3</v>
      </c>
      <c r="AL959" t="s">
        <v>5212</v>
      </c>
      <c r="AM959" t="s">
        <v>5213</v>
      </c>
      <c r="AN959" t="s">
        <v>5214</v>
      </c>
      <c r="AO959" t="s">
        <v>12612</v>
      </c>
      <c r="AP959" t="s">
        <v>74</v>
      </c>
      <c r="AQ959" t="s">
        <v>74</v>
      </c>
      <c r="AR959" t="s">
        <v>12613</v>
      </c>
      <c r="AS959" t="s">
        <v>12614</v>
      </c>
      <c r="AT959" t="s">
        <v>11711</v>
      </c>
      <c r="AU959">
        <v>2000</v>
      </c>
      <c r="AV959">
        <v>54</v>
      </c>
      <c r="AW959">
        <v>3</v>
      </c>
      <c r="AX959" t="s">
        <v>74</v>
      </c>
      <c r="AY959" t="s">
        <v>74</v>
      </c>
      <c r="AZ959" t="s">
        <v>74</v>
      </c>
      <c r="BA959" t="s">
        <v>74</v>
      </c>
      <c r="BB959">
        <v>361</v>
      </c>
      <c r="BC959">
        <v>362</v>
      </c>
      <c r="BD959" t="s">
        <v>74</v>
      </c>
      <c r="BE959" t="s">
        <v>12615</v>
      </c>
      <c r="BF959" t="str">
        <f>HYPERLINK("http://dx.doi.org/10.1046/j.1440-1819.2000.00715.x","http://dx.doi.org/10.1046/j.1440-1819.2000.00715.x")</f>
        <v>http://dx.doi.org/10.1046/j.1440-1819.2000.00715.x</v>
      </c>
      <c r="BG959" t="s">
        <v>74</v>
      </c>
      <c r="BH959" t="s">
        <v>74</v>
      </c>
      <c r="BI959">
        <v>2</v>
      </c>
      <c r="BJ959" t="s">
        <v>12616</v>
      </c>
      <c r="BK959" t="s">
        <v>596</v>
      </c>
      <c r="BL959" t="s">
        <v>12617</v>
      </c>
      <c r="BM959" t="s">
        <v>12618</v>
      </c>
      <c r="BN959">
        <v>11186114</v>
      </c>
      <c r="BO959" t="s">
        <v>1755</v>
      </c>
      <c r="BP959" t="s">
        <v>74</v>
      </c>
      <c r="BQ959" t="s">
        <v>74</v>
      </c>
      <c r="BR959" t="s">
        <v>97</v>
      </c>
      <c r="BS959" t="s">
        <v>12619</v>
      </c>
      <c r="BT959" t="str">
        <f>HYPERLINK("https%3A%2F%2Fwww.webofscience.com%2Fwos%2Fwoscc%2Ffull-record%2FWOS:000165515400049","View Full Record in Web of Science")</f>
        <v>View Full Record in Web of Science</v>
      </c>
    </row>
    <row r="960" spans="1:72" x14ac:dyDescent="0.15">
      <c r="A960" t="s">
        <v>72</v>
      </c>
      <c r="B960" t="s">
        <v>12620</v>
      </c>
      <c r="C960" t="s">
        <v>74</v>
      </c>
      <c r="D960" t="s">
        <v>74</v>
      </c>
      <c r="E960" t="s">
        <v>74</v>
      </c>
      <c r="F960" t="s">
        <v>12620</v>
      </c>
      <c r="G960" t="s">
        <v>74</v>
      </c>
      <c r="H960" t="s">
        <v>74</v>
      </c>
      <c r="I960" t="s">
        <v>12621</v>
      </c>
      <c r="J960" t="s">
        <v>12622</v>
      </c>
      <c r="K960" t="s">
        <v>74</v>
      </c>
      <c r="L960" t="s">
        <v>74</v>
      </c>
      <c r="M960" t="s">
        <v>77</v>
      </c>
      <c r="N960" t="s">
        <v>78</v>
      </c>
      <c r="O960" t="s">
        <v>74</v>
      </c>
      <c r="P960" t="s">
        <v>74</v>
      </c>
      <c r="Q960" t="s">
        <v>74</v>
      </c>
      <c r="R960" t="s">
        <v>74</v>
      </c>
      <c r="S960" t="s">
        <v>74</v>
      </c>
      <c r="T960" t="s">
        <v>74</v>
      </c>
      <c r="U960" t="s">
        <v>12623</v>
      </c>
      <c r="V960" t="s">
        <v>12624</v>
      </c>
      <c r="W960" t="s">
        <v>12625</v>
      </c>
      <c r="X960" t="s">
        <v>12626</v>
      </c>
      <c r="Y960" t="s">
        <v>12627</v>
      </c>
      <c r="Z960" t="s">
        <v>74</v>
      </c>
      <c r="AA960" t="s">
        <v>12628</v>
      </c>
      <c r="AB960" t="s">
        <v>12629</v>
      </c>
      <c r="AC960" t="s">
        <v>74</v>
      </c>
      <c r="AD960" t="s">
        <v>74</v>
      </c>
      <c r="AE960" t="s">
        <v>74</v>
      </c>
      <c r="AF960" t="s">
        <v>74</v>
      </c>
      <c r="AG960">
        <v>53</v>
      </c>
      <c r="AH960">
        <v>215</v>
      </c>
      <c r="AI960">
        <v>226</v>
      </c>
      <c r="AJ960">
        <v>0</v>
      </c>
      <c r="AK960">
        <v>23</v>
      </c>
      <c r="AL960" t="s">
        <v>245</v>
      </c>
      <c r="AM960" t="s">
        <v>246</v>
      </c>
      <c r="AN960" t="s">
        <v>247</v>
      </c>
      <c r="AO960" t="s">
        <v>12630</v>
      </c>
      <c r="AP960" t="s">
        <v>74</v>
      </c>
      <c r="AQ960" t="s">
        <v>74</v>
      </c>
      <c r="AR960" t="s">
        <v>12631</v>
      </c>
      <c r="AS960" t="s">
        <v>12632</v>
      </c>
      <c r="AT960" t="s">
        <v>11711</v>
      </c>
      <c r="AU960">
        <v>2000</v>
      </c>
      <c r="AV960">
        <v>19</v>
      </c>
      <c r="AW960">
        <v>10</v>
      </c>
      <c r="AX960" t="s">
        <v>74</v>
      </c>
      <c r="AY960" t="s">
        <v>74</v>
      </c>
      <c r="AZ960" t="s">
        <v>74</v>
      </c>
      <c r="BA960" t="s">
        <v>74</v>
      </c>
      <c r="BB960">
        <v>981</v>
      </c>
      <c r="BC960">
        <v>994</v>
      </c>
      <c r="BD960" t="s">
        <v>74</v>
      </c>
      <c r="BE960" t="s">
        <v>12633</v>
      </c>
      <c r="BF960" t="str">
        <f>HYPERLINK("http://dx.doi.org/10.1016/S0277-3791(99)00046-3","http://dx.doi.org/10.1016/S0277-3791(99)00046-3")</f>
        <v>http://dx.doi.org/10.1016/S0277-3791(99)00046-3</v>
      </c>
      <c r="BG960" t="s">
        <v>74</v>
      </c>
      <c r="BH960" t="s">
        <v>74</v>
      </c>
      <c r="BI960">
        <v>14</v>
      </c>
      <c r="BJ960" t="s">
        <v>1214</v>
      </c>
      <c r="BK960" t="s">
        <v>94</v>
      </c>
      <c r="BL960" t="s">
        <v>1215</v>
      </c>
      <c r="BM960" t="s">
        <v>12634</v>
      </c>
      <c r="BN960" t="s">
        <v>74</v>
      </c>
      <c r="BO960" t="s">
        <v>74</v>
      </c>
      <c r="BP960" t="s">
        <v>74</v>
      </c>
      <c r="BQ960" t="s">
        <v>74</v>
      </c>
      <c r="BR960" t="s">
        <v>97</v>
      </c>
      <c r="BS960" t="s">
        <v>12635</v>
      </c>
      <c r="BT960" t="str">
        <f>HYPERLINK("https%3A%2F%2Fwww.webofscience.com%2Fwos%2Fwoscc%2Ffull-record%2FWOS:000087643500003","View Full Record in Web of Science")</f>
        <v>View Full Record in Web of Science</v>
      </c>
    </row>
    <row r="961" spans="1:72" x14ac:dyDescent="0.15">
      <c r="A961" t="s">
        <v>72</v>
      </c>
      <c r="B961" t="s">
        <v>7661</v>
      </c>
      <c r="C961" t="s">
        <v>74</v>
      </c>
      <c r="D961" t="s">
        <v>74</v>
      </c>
      <c r="E961" t="s">
        <v>74</v>
      </c>
      <c r="F961" t="s">
        <v>7661</v>
      </c>
      <c r="G961" t="s">
        <v>74</v>
      </c>
      <c r="H961" t="s">
        <v>74</v>
      </c>
      <c r="I961" t="s">
        <v>12636</v>
      </c>
      <c r="J961" t="s">
        <v>12637</v>
      </c>
      <c r="K961" t="s">
        <v>74</v>
      </c>
      <c r="L961" t="s">
        <v>74</v>
      </c>
      <c r="M961" t="s">
        <v>77</v>
      </c>
      <c r="N961" t="s">
        <v>78</v>
      </c>
      <c r="O961" t="s">
        <v>74</v>
      </c>
      <c r="P961" t="s">
        <v>74</v>
      </c>
      <c r="Q961" t="s">
        <v>74</v>
      </c>
      <c r="R961" t="s">
        <v>74</v>
      </c>
      <c r="S961" t="s">
        <v>74</v>
      </c>
      <c r="T961" t="s">
        <v>12638</v>
      </c>
      <c r="U961" t="s">
        <v>12639</v>
      </c>
      <c r="V961" t="s">
        <v>12640</v>
      </c>
      <c r="W961" t="s">
        <v>12641</v>
      </c>
      <c r="X961" t="s">
        <v>7667</v>
      </c>
      <c r="Y961" t="s">
        <v>12642</v>
      </c>
      <c r="Z961" t="s">
        <v>12643</v>
      </c>
      <c r="AA961" t="s">
        <v>74</v>
      </c>
      <c r="AB961" t="s">
        <v>74</v>
      </c>
      <c r="AC961" t="s">
        <v>74</v>
      </c>
      <c r="AD961" t="s">
        <v>74</v>
      </c>
      <c r="AE961" t="s">
        <v>74</v>
      </c>
      <c r="AF961" t="s">
        <v>74</v>
      </c>
      <c r="AG961">
        <v>100</v>
      </c>
      <c r="AH961">
        <v>69</v>
      </c>
      <c r="AI961">
        <v>76</v>
      </c>
      <c r="AJ961">
        <v>1</v>
      </c>
      <c r="AK961">
        <v>6</v>
      </c>
      <c r="AL961" t="s">
        <v>813</v>
      </c>
      <c r="AM961" t="s">
        <v>814</v>
      </c>
      <c r="AN961" t="s">
        <v>815</v>
      </c>
      <c r="AO961" t="s">
        <v>12644</v>
      </c>
      <c r="AP961" t="s">
        <v>12645</v>
      </c>
      <c r="AQ961" t="s">
        <v>74</v>
      </c>
      <c r="AR961" t="s">
        <v>12637</v>
      </c>
      <c r="AS961" t="s">
        <v>12646</v>
      </c>
      <c r="AT961" t="s">
        <v>11711</v>
      </c>
      <c r="AU961">
        <v>2000</v>
      </c>
      <c r="AV961">
        <v>47</v>
      </c>
      <c r="AW961">
        <v>3</v>
      </c>
      <c r="AX961" t="s">
        <v>74</v>
      </c>
      <c r="AY961" t="s">
        <v>74</v>
      </c>
      <c r="AZ961" t="s">
        <v>74</v>
      </c>
      <c r="BA961" t="s">
        <v>74</v>
      </c>
      <c r="BB961">
        <v>577</v>
      </c>
      <c r="BC961">
        <v>607</v>
      </c>
      <c r="BD961" t="s">
        <v>74</v>
      </c>
      <c r="BE961" t="s">
        <v>12647</v>
      </c>
      <c r="BF961" t="str">
        <f>HYPERLINK("http://dx.doi.org/10.1046/j.1365-3091.2000.00308.x","http://dx.doi.org/10.1046/j.1365-3091.2000.00308.x")</f>
        <v>http://dx.doi.org/10.1046/j.1365-3091.2000.00308.x</v>
      </c>
      <c r="BG961" t="s">
        <v>74</v>
      </c>
      <c r="BH961" t="s">
        <v>74</v>
      </c>
      <c r="BI961">
        <v>31</v>
      </c>
      <c r="BJ961" t="s">
        <v>597</v>
      </c>
      <c r="BK961" t="s">
        <v>94</v>
      </c>
      <c r="BL961" t="s">
        <v>597</v>
      </c>
      <c r="BM961" t="s">
        <v>12648</v>
      </c>
      <c r="BN961" t="s">
        <v>74</v>
      </c>
      <c r="BO961" t="s">
        <v>74</v>
      </c>
      <c r="BP961" t="s">
        <v>74</v>
      </c>
      <c r="BQ961" t="s">
        <v>74</v>
      </c>
      <c r="BR961" t="s">
        <v>97</v>
      </c>
      <c r="BS961" t="s">
        <v>12649</v>
      </c>
      <c r="BT961" t="str">
        <f>HYPERLINK("https%3A%2F%2Fwww.webofscience.com%2Fwos%2Fwoscc%2Ffull-record%2FWOS:000087496200006","View Full Record in Web of Science")</f>
        <v>View Full Record in Web of Science</v>
      </c>
    </row>
    <row r="962" spans="1:72" x14ac:dyDescent="0.15">
      <c r="A962" t="s">
        <v>72</v>
      </c>
      <c r="B962" t="s">
        <v>12650</v>
      </c>
      <c r="C962" t="s">
        <v>74</v>
      </c>
      <c r="D962" t="s">
        <v>74</v>
      </c>
      <c r="E962" t="s">
        <v>74</v>
      </c>
      <c r="F962" t="s">
        <v>12650</v>
      </c>
      <c r="G962" t="s">
        <v>74</v>
      </c>
      <c r="H962" t="s">
        <v>74</v>
      </c>
      <c r="I962" t="s">
        <v>12651</v>
      </c>
      <c r="J962" t="s">
        <v>12652</v>
      </c>
      <c r="K962" t="s">
        <v>74</v>
      </c>
      <c r="L962" t="s">
        <v>74</v>
      </c>
      <c r="M962" t="s">
        <v>77</v>
      </c>
      <c r="N962" t="s">
        <v>78</v>
      </c>
      <c r="O962" t="s">
        <v>74</v>
      </c>
      <c r="P962" t="s">
        <v>74</v>
      </c>
      <c r="Q962" t="s">
        <v>74</v>
      </c>
      <c r="R962" t="s">
        <v>74</v>
      </c>
      <c r="S962" t="s">
        <v>74</v>
      </c>
      <c r="T962" t="s">
        <v>74</v>
      </c>
      <c r="U962" t="s">
        <v>74</v>
      </c>
      <c r="V962" t="s">
        <v>12653</v>
      </c>
      <c r="W962" t="s">
        <v>12654</v>
      </c>
      <c r="X962" t="s">
        <v>12655</v>
      </c>
      <c r="Y962" t="s">
        <v>74</v>
      </c>
      <c r="Z962" t="s">
        <v>74</v>
      </c>
      <c r="AA962" t="s">
        <v>74</v>
      </c>
      <c r="AB962" t="s">
        <v>74</v>
      </c>
      <c r="AC962" t="s">
        <v>74</v>
      </c>
      <c r="AD962" t="s">
        <v>74</v>
      </c>
      <c r="AE962" t="s">
        <v>74</v>
      </c>
      <c r="AF962" t="s">
        <v>74</v>
      </c>
      <c r="AG962">
        <v>51</v>
      </c>
      <c r="AH962">
        <v>6</v>
      </c>
      <c r="AI962">
        <v>6</v>
      </c>
      <c r="AJ962">
        <v>0</v>
      </c>
      <c r="AK962">
        <v>12</v>
      </c>
      <c r="AL962" t="s">
        <v>698</v>
      </c>
      <c r="AM962" t="s">
        <v>699</v>
      </c>
      <c r="AN962" t="s">
        <v>700</v>
      </c>
      <c r="AO962" t="s">
        <v>12656</v>
      </c>
      <c r="AP962" t="s">
        <v>12657</v>
      </c>
      <c r="AQ962" t="s">
        <v>74</v>
      </c>
      <c r="AR962" t="s">
        <v>12658</v>
      </c>
      <c r="AS962" t="s">
        <v>12659</v>
      </c>
      <c r="AT962" t="s">
        <v>11711</v>
      </c>
      <c r="AU962">
        <v>2000</v>
      </c>
      <c r="AV962">
        <v>31</v>
      </c>
      <c r="AW962">
        <v>3</v>
      </c>
      <c r="AX962" t="s">
        <v>74</v>
      </c>
      <c r="AY962" t="s">
        <v>74</v>
      </c>
      <c r="AZ962" t="s">
        <v>74</v>
      </c>
      <c r="BA962" t="s">
        <v>74</v>
      </c>
      <c r="BB962">
        <v>251</v>
      </c>
      <c r="BC962">
        <v>274</v>
      </c>
      <c r="BD962" t="s">
        <v>74</v>
      </c>
      <c r="BE962" t="s">
        <v>12660</v>
      </c>
      <c r="BF962" t="str">
        <f>HYPERLINK("http://dx.doi.org/10.1177/104649640003100301","http://dx.doi.org/10.1177/104649640003100301")</f>
        <v>http://dx.doi.org/10.1177/104649640003100301</v>
      </c>
      <c r="BG962" t="s">
        <v>74</v>
      </c>
      <c r="BH962" t="s">
        <v>74</v>
      </c>
      <c r="BI962">
        <v>24</v>
      </c>
      <c r="BJ962" t="s">
        <v>12661</v>
      </c>
      <c r="BK962" t="s">
        <v>657</v>
      </c>
      <c r="BL962" t="s">
        <v>12662</v>
      </c>
      <c r="BM962" t="s">
        <v>12663</v>
      </c>
      <c r="BN962" t="s">
        <v>74</v>
      </c>
      <c r="BO962" t="s">
        <v>74</v>
      </c>
      <c r="BP962" t="s">
        <v>74</v>
      </c>
      <c r="BQ962" t="s">
        <v>74</v>
      </c>
      <c r="BR962" t="s">
        <v>97</v>
      </c>
      <c r="BS962" t="s">
        <v>12664</v>
      </c>
      <c r="BT962" t="str">
        <f>HYPERLINK("https%3A%2F%2Fwww.webofscience.com%2Fwos%2Fwoscc%2Ffull-record%2FWOS:000087463800001","View Full Record in Web of Science")</f>
        <v>View Full Record in Web of Science</v>
      </c>
    </row>
    <row r="963" spans="1:72" x14ac:dyDescent="0.15">
      <c r="A963" t="s">
        <v>72</v>
      </c>
      <c r="B963" t="s">
        <v>12665</v>
      </c>
      <c r="C963" t="s">
        <v>74</v>
      </c>
      <c r="D963" t="s">
        <v>74</v>
      </c>
      <c r="E963" t="s">
        <v>74</v>
      </c>
      <c r="F963" t="s">
        <v>12665</v>
      </c>
      <c r="G963" t="s">
        <v>74</v>
      </c>
      <c r="H963" t="s">
        <v>74</v>
      </c>
      <c r="I963" t="s">
        <v>12666</v>
      </c>
      <c r="J963" t="s">
        <v>12667</v>
      </c>
      <c r="K963" t="s">
        <v>74</v>
      </c>
      <c r="L963" t="s">
        <v>74</v>
      </c>
      <c r="M963" t="s">
        <v>77</v>
      </c>
      <c r="N963" t="s">
        <v>236</v>
      </c>
      <c r="O963" t="s">
        <v>74</v>
      </c>
      <c r="P963" t="s">
        <v>74</v>
      </c>
      <c r="Q963" t="s">
        <v>74</v>
      </c>
      <c r="R963" t="s">
        <v>74</v>
      </c>
      <c r="S963" t="s">
        <v>74</v>
      </c>
      <c r="T963" t="s">
        <v>12668</v>
      </c>
      <c r="U963" t="s">
        <v>12669</v>
      </c>
      <c r="V963" t="s">
        <v>12670</v>
      </c>
      <c r="W963" t="s">
        <v>12671</v>
      </c>
      <c r="X963" t="s">
        <v>12672</v>
      </c>
      <c r="Y963" t="s">
        <v>12673</v>
      </c>
      <c r="Z963" t="s">
        <v>74</v>
      </c>
      <c r="AA963" t="s">
        <v>12674</v>
      </c>
      <c r="AB963" t="s">
        <v>74</v>
      </c>
      <c r="AC963" t="s">
        <v>74</v>
      </c>
      <c r="AD963" t="s">
        <v>74</v>
      </c>
      <c r="AE963" t="s">
        <v>74</v>
      </c>
      <c r="AF963" t="s">
        <v>74</v>
      </c>
      <c r="AG963">
        <v>46</v>
      </c>
      <c r="AH963">
        <v>8</v>
      </c>
      <c r="AI963">
        <v>9</v>
      </c>
      <c r="AJ963">
        <v>1</v>
      </c>
      <c r="AK963">
        <v>23</v>
      </c>
      <c r="AL963" t="s">
        <v>4249</v>
      </c>
      <c r="AM963" t="s">
        <v>4250</v>
      </c>
      <c r="AN963" t="s">
        <v>4251</v>
      </c>
      <c r="AO963" t="s">
        <v>12675</v>
      </c>
      <c r="AP963" t="s">
        <v>74</v>
      </c>
      <c r="AQ963" t="s">
        <v>74</v>
      </c>
      <c r="AR963" t="s">
        <v>12676</v>
      </c>
      <c r="AS963" t="s">
        <v>12677</v>
      </c>
      <c r="AT963" t="s">
        <v>11711</v>
      </c>
      <c r="AU963">
        <v>2000</v>
      </c>
      <c r="AV963">
        <v>29</v>
      </c>
      <c r="AW963">
        <v>6</v>
      </c>
      <c r="AX963" t="s">
        <v>74</v>
      </c>
      <c r="AY963" t="s">
        <v>74</v>
      </c>
      <c r="AZ963" t="s">
        <v>74</v>
      </c>
      <c r="BA963" t="s">
        <v>74</v>
      </c>
      <c r="BB963">
        <v>349</v>
      </c>
      <c r="BC963">
        <v>361</v>
      </c>
      <c r="BD963" t="s">
        <v>74</v>
      </c>
      <c r="BE963" t="s">
        <v>12678</v>
      </c>
      <c r="BF963" t="str">
        <f>HYPERLINK("http://dx.doi.org/10.1002/1096-9918(200006)29:6&lt;349::AID-SIA822&gt;3.0.CO;2-1","http://dx.doi.org/10.1002/1096-9918(200006)29:6&lt;349::AID-SIA822&gt;3.0.CO;2-1")</f>
        <v>http://dx.doi.org/10.1002/1096-9918(200006)29:6&lt;349::AID-SIA822&gt;3.0.CO;2-1</v>
      </c>
      <c r="BG963" t="s">
        <v>74</v>
      </c>
      <c r="BH963" t="s">
        <v>74</v>
      </c>
      <c r="BI963">
        <v>13</v>
      </c>
      <c r="BJ963" t="s">
        <v>12679</v>
      </c>
      <c r="BK963" t="s">
        <v>94</v>
      </c>
      <c r="BL963" t="s">
        <v>934</v>
      </c>
      <c r="BM963" t="s">
        <v>12680</v>
      </c>
      <c r="BN963" t="s">
        <v>74</v>
      </c>
      <c r="BO963" t="s">
        <v>74</v>
      </c>
      <c r="BP963" t="s">
        <v>74</v>
      </c>
      <c r="BQ963" t="s">
        <v>74</v>
      </c>
      <c r="BR963" t="s">
        <v>97</v>
      </c>
      <c r="BS963" t="s">
        <v>12681</v>
      </c>
      <c r="BT963" t="str">
        <f>HYPERLINK("https%3A%2F%2Fwww.webofscience.com%2Fwos%2Fwoscc%2Ffull-record%2FWOS:000087837200001","View Full Record in Web of Science")</f>
        <v>View Full Record in Web of Science</v>
      </c>
    </row>
    <row r="964" spans="1:72" x14ac:dyDescent="0.15">
      <c r="A964" t="s">
        <v>72</v>
      </c>
      <c r="B964" t="s">
        <v>8140</v>
      </c>
      <c r="C964" t="s">
        <v>74</v>
      </c>
      <c r="D964" t="s">
        <v>74</v>
      </c>
      <c r="E964" t="s">
        <v>74</v>
      </c>
      <c r="F964" t="s">
        <v>8140</v>
      </c>
      <c r="G964" t="s">
        <v>74</v>
      </c>
      <c r="H964" t="s">
        <v>74</v>
      </c>
      <c r="I964" t="s">
        <v>12682</v>
      </c>
      <c r="J964" t="s">
        <v>8142</v>
      </c>
      <c r="K964" t="s">
        <v>74</v>
      </c>
      <c r="L964" t="s">
        <v>74</v>
      </c>
      <c r="M964" t="s">
        <v>77</v>
      </c>
      <c r="N964" t="s">
        <v>78</v>
      </c>
      <c r="O964" t="s">
        <v>74</v>
      </c>
      <c r="P964" t="s">
        <v>74</v>
      </c>
      <c r="Q964" t="s">
        <v>74</v>
      </c>
      <c r="R964" t="s">
        <v>74</v>
      </c>
      <c r="S964" t="s">
        <v>74</v>
      </c>
      <c r="T964" t="s">
        <v>12683</v>
      </c>
      <c r="U964" t="s">
        <v>12684</v>
      </c>
      <c r="V964" t="s">
        <v>12685</v>
      </c>
      <c r="W964" t="s">
        <v>12686</v>
      </c>
      <c r="X964" t="s">
        <v>12687</v>
      </c>
      <c r="Y964" t="s">
        <v>12688</v>
      </c>
      <c r="Z964" t="s">
        <v>74</v>
      </c>
      <c r="AA964" t="s">
        <v>8143</v>
      </c>
      <c r="AB964" t="s">
        <v>8144</v>
      </c>
      <c r="AC964" t="s">
        <v>74</v>
      </c>
      <c r="AD964" t="s">
        <v>74</v>
      </c>
      <c r="AE964" t="s">
        <v>74</v>
      </c>
      <c r="AF964" t="s">
        <v>74</v>
      </c>
      <c r="AG964">
        <v>43</v>
      </c>
      <c r="AH964">
        <v>60</v>
      </c>
      <c r="AI964">
        <v>65</v>
      </c>
      <c r="AJ964">
        <v>0</v>
      </c>
      <c r="AK964">
        <v>12</v>
      </c>
      <c r="AL964" t="s">
        <v>11295</v>
      </c>
      <c r="AM964" t="s">
        <v>3737</v>
      </c>
      <c r="AN964" t="s">
        <v>11296</v>
      </c>
      <c r="AO964" t="s">
        <v>8145</v>
      </c>
      <c r="AP964" t="s">
        <v>74</v>
      </c>
      <c r="AQ964" t="s">
        <v>74</v>
      </c>
      <c r="AR964" t="s">
        <v>8146</v>
      </c>
      <c r="AS964" t="s">
        <v>8147</v>
      </c>
      <c r="AT964" t="s">
        <v>11711</v>
      </c>
      <c r="AU964">
        <v>2000</v>
      </c>
      <c r="AV964">
        <v>23</v>
      </c>
      <c r="AW964">
        <v>2</v>
      </c>
      <c r="AX964" t="s">
        <v>74</v>
      </c>
      <c r="AY964" t="s">
        <v>74</v>
      </c>
      <c r="AZ964" t="s">
        <v>74</v>
      </c>
      <c r="BA964" t="s">
        <v>74</v>
      </c>
      <c r="BB964">
        <v>219</v>
      </c>
      <c r="BC964">
        <v>229</v>
      </c>
      <c r="BD964" t="s">
        <v>74</v>
      </c>
      <c r="BE964" t="s">
        <v>12689</v>
      </c>
      <c r="BF964" t="str">
        <f>HYPERLINK("http://dx.doi.org/10.1016/S0723-2020(00)80008-9","http://dx.doi.org/10.1016/S0723-2020(00)80008-9")</f>
        <v>http://dx.doi.org/10.1016/S0723-2020(00)80008-9</v>
      </c>
      <c r="BG964" t="s">
        <v>74</v>
      </c>
      <c r="BH964" t="s">
        <v>74</v>
      </c>
      <c r="BI964">
        <v>11</v>
      </c>
      <c r="BJ964" t="s">
        <v>3384</v>
      </c>
      <c r="BK964" t="s">
        <v>94</v>
      </c>
      <c r="BL964" t="s">
        <v>3384</v>
      </c>
      <c r="BM964" t="s">
        <v>12690</v>
      </c>
      <c r="BN964">
        <v>10930074</v>
      </c>
      <c r="BO964" t="s">
        <v>74</v>
      </c>
      <c r="BP964" t="s">
        <v>74</v>
      </c>
      <c r="BQ964" t="s">
        <v>74</v>
      </c>
      <c r="BR964" t="s">
        <v>97</v>
      </c>
      <c r="BS964" t="s">
        <v>12691</v>
      </c>
      <c r="BT964" t="str">
        <f>HYPERLINK("https%3A%2F%2Fwww.webofscience.com%2Fwos%2Fwoscc%2Ffull-record%2FWOS:000088482000008","View Full Record in Web of Science")</f>
        <v>View Full Record in Web of Science</v>
      </c>
    </row>
    <row r="965" spans="1:72" x14ac:dyDescent="0.15">
      <c r="A965" t="s">
        <v>72</v>
      </c>
      <c r="B965" t="s">
        <v>12692</v>
      </c>
      <c r="C965" t="s">
        <v>74</v>
      </c>
      <c r="D965" t="s">
        <v>74</v>
      </c>
      <c r="E965" t="s">
        <v>74</v>
      </c>
      <c r="F965" t="s">
        <v>12692</v>
      </c>
      <c r="G965" t="s">
        <v>74</v>
      </c>
      <c r="H965" t="s">
        <v>74</v>
      </c>
      <c r="I965" t="s">
        <v>12693</v>
      </c>
      <c r="J965" t="s">
        <v>12694</v>
      </c>
      <c r="K965" t="s">
        <v>74</v>
      </c>
      <c r="L965" t="s">
        <v>74</v>
      </c>
      <c r="M965" t="s">
        <v>77</v>
      </c>
      <c r="N965" t="s">
        <v>78</v>
      </c>
      <c r="O965" t="s">
        <v>74</v>
      </c>
      <c r="P965" t="s">
        <v>74</v>
      </c>
      <c r="Q965" t="s">
        <v>74</v>
      </c>
      <c r="R965" t="s">
        <v>74</v>
      </c>
      <c r="S965" t="s">
        <v>74</v>
      </c>
      <c r="T965" t="s">
        <v>74</v>
      </c>
      <c r="U965" t="s">
        <v>12695</v>
      </c>
      <c r="V965" t="s">
        <v>12696</v>
      </c>
      <c r="W965" t="s">
        <v>12697</v>
      </c>
      <c r="X965" t="s">
        <v>12698</v>
      </c>
      <c r="Y965" t="s">
        <v>12699</v>
      </c>
      <c r="Z965" t="s">
        <v>12700</v>
      </c>
      <c r="AA965" t="s">
        <v>12701</v>
      </c>
      <c r="AB965" t="s">
        <v>12702</v>
      </c>
      <c r="AC965" t="s">
        <v>74</v>
      </c>
      <c r="AD965" t="s">
        <v>74</v>
      </c>
      <c r="AE965" t="s">
        <v>74</v>
      </c>
      <c r="AF965" t="s">
        <v>74</v>
      </c>
      <c r="AG965">
        <v>89</v>
      </c>
      <c r="AH965">
        <v>68</v>
      </c>
      <c r="AI965">
        <v>73</v>
      </c>
      <c r="AJ965">
        <v>0</v>
      </c>
      <c r="AK965">
        <v>12</v>
      </c>
      <c r="AL965" t="s">
        <v>1059</v>
      </c>
      <c r="AM965" t="s">
        <v>1060</v>
      </c>
      <c r="AN965" t="s">
        <v>1061</v>
      </c>
      <c r="AO965" t="s">
        <v>12703</v>
      </c>
      <c r="AP965" t="s">
        <v>12704</v>
      </c>
      <c r="AQ965" t="s">
        <v>74</v>
      </c>
      <c r="AR965" t="s">
        <v>12694</v>
      </c>
      <c r="AS965" t="s">
        <v>12705</v>
      </c>
      <c r="AT965" t="s">
        <v>11711</v>
      </c>
      <c r="AU965">
        <v>2000</v>
      </c>
      <c r="AV965">
        <v>19</v>
      </c>
      <c r="AW965">
        <v>3</v>
      </c>
      <c r="AX965" t="s">
        <v>74</v>
      </c>
      <c r="AY965" t="s">
        <v>74</v>
      </c>
      <c r="AZ965" t="s">
        <v>74</v>
      </c>
      <c r="BA965" t="s">
        <v>74</v>
      </c>
      <c r="BB965">
        <v>415</v>
      </c>
      <c r="BC965">
        <v>432</v>
      </c>
      <c r="BD965" t="s">
        <v>74</v>
      </c>
      <c r="BE965" t="s">
        <v>12706</v>
      </c>
      <c r="BF965" t="str">
        <f>HYPERLINK("http://dx.doi.org/10.1029/2000TC900002","http://dx.doi.org/10.1029/2000TC900002")</f>
        <v>http://dx.doi.org/10.1029/2000TC900002</v>
      </c>
      <c r="BG965" t="s">
        <v>74</v>
      </c>
      <c r="BH965" t="s">
        <v>74</v>
      </c>
      <c r="BI965">
        <v>18</v>
      </c>
      <c r="BJ965" t="s">
        <v>953</v>
      </c>
      <c r="BK965" t="s">
        <v>94</v>
      </c>
      <c r="BL965" t="s">
        <v>953</v>
      </c>
      <c r="BM965" t="s">
        <v>12707</v>
      </c>
      <c r="BN965" t="s">
        <v>74</v>
      </c>
      <c r="BO965" t="s">
        <v>1755</v>
      </c>
      <c r="BP965" t="s">
        <v>74</v>
      </c>
      <c r="BQ965" t="s">
        <v>74</v>
      </c>
      <c r="BR965" t="s">
        <v>97</v>
      </c>
      <c r="BS965" t="s">
        <v>12708</v>
      </c>
      <c r="BT965" t="str">
        <f>HYPERLINK("https%3A%2F%2Fwww.webofscience.com%2Fwos%2Fwoscc%2Ffull-record%2FWOS:000087412300001","View Full Record in Web of Science")</f>
        <v>View Full Record in Web of Science</v>
      </c>
    </row>
    <row r="966" spans="1:72" x14ac:dyDescent="0.15">
      <c r="A966" t="s">
        <v>72</v>
      </c>
      <c r="B966" t="s">
        <v>12709</v>
      </c>
      <c r="C966" t="s">
        <v>74</v>
      </c>
      <c r="D966" t="s">
        <v>74</v>
      </c>
      <c r="E966" t="s">
        <v>74</v>
      </c>
      <c r="F966" t="s">
        <v>12709</v>
      </c>
      <c r="G966" t="s">
        <v>74</v>
      </c>
      <c r="H966" t="s">
        <v>74</v>
      </c>
      <c r="I966" t="s">
        <v>12710</v>
      </c>
      <c r="J966" t="s">
        <v>12711</v>
      </c>
      <c r="K966" t="s">
        <v>74</v>
      </c>
      <c r="L966" t="s">
        <v>74</v>
      </c>
      <c r="M966" t="s">
        <v>77</v>
      </c>
      <c r="N966" t="s">
        <v>78</v>
      </c>
      <c r="O966" t="s">
        <v>74</v>
      </c>
      <c r="P966" t="s">
        <v>74</v>
      </c>
      <c r="Q966" t="s">
        <v>74</v>
      </c>
      <c r="R966" t="s">
        <v>74</v>
      </c>
      <c r="S966" t="s">
        <v>74</v>
      </c>
      <c r="T966" t="s">
        <v>12712</v>
      </c>
      <c r="U966" t="s">
        <v>74</v>
      </c>
      <c r="V966" t="s">
        <v>12713</v>
      </c>
      <c r="W966" t="s">
        <v>12714</v>
      </c>
      <c r="X966" t="s">
        <v>12715</v>
      </c>
      <c r="Y966" t="s">
        <v>12716</v>
      </c>
      <c r="Z966" t="s">
        <v>74</v>
      </c>
      <c r="AA966" t="s">
        <v>74</v>
      </c>
      <c r="AB966" t="s">
        <v>12717</v>
      </c>
      <c r="AC966" t="s">
        <v>74</v>
      </c>
      <c r="AD966" t="s">
        <v>74</v>
      </c>
      <c r="AE966" t="s">
        <v>74</v>
      </c>
      <c r="AF966" t="s">
        <v>74</v>
      </c>
      <c r="AG966">
        <v>13</v>
      </c>
      <c r="AH966">
        <v>2</v>
      </c>
      <c r="AI966">
        <v>2</v>
      </c>
      <c r="AJ966">
        <v>0</v>
      </c>
      <c r="AK966">
        <v>4</v>
      </c>
      <c r="AL966" t="s">
        <v>12718</v>
      </c>
      <c r="AM966" t="s">
        <v>12719</v>
      </c>
      <c r="AN966" t="s">
        <v>12720</v>
      </c>
      <c r="AO966" t="s">
        <v>12721</v>
      </c>
      <c r="AP966" t="s">
        <v>74</v>
      </c>
      <c r="AQ966" t="s">
        <v>74</v>
      </c>
      <c r="AR966" t="s">
        <v>12722</v>
      </c>
      <c r="AS966" t="s">
        <v>12723</v>
      </c>
      <c r="AT966" t="s">
        <v>11692</v>
      </c>
      <c r="AU966">
        <v>2000</v>
      </c>
      <c r="AV966">
        <v>11</v>
      </c>
      <c r="AW966">
        <v>2</v>
      </c>
      <c r="AX966" t="s">
        <v>74</v>
      </c>
      <c r="AY966" t="s">
        <v>74</v>
      </c>
      <c r="AZ966" t="s">
        <v>74</v>
      </c>
      <c r="BA966" t="s">
        <v>74</v>
      </c>
      <c r="BB966">
        <v>94</v>
      </c>
      <c r="BC966">
        <v>98</v>
      </c>
      <c r="BD966" t="s">
        <v>74</v>
      </c>
      <c r="BE966" t="s">
        <v>12724</v>
      </c>
      <c r="BF966" t="str">
        <f>HYPERLINK("http://dx.doi.org/10.1580/1080-6032(2000)011[0094:ITARAP]2.3.CO;2","http://dx.doi.org/10.1580/1080-6032(2000)011[0094:ITARAP]2.3.CO;2")</f>
        <v>http://dx.doi.org/10.1580/1080-6032(2000)011[0094:ITARAP]2.3.CO;2</v>
      </c>
      <c r="BG966" t="s">
        <v>74</v>
      </c>
      <c r="BH966" t="s">
        <v>74</v>
      </c>
      <c r="BI966">
        <v>5</v>
      </c>
      <c r="BJ966" t="s">
        <v>12725</v>
      </c>
      <c r="BK966" t="s">
        <v>94</v>
      </c>
      <c r="BL966" t="s">
        <v>12725</v>
      </c>
      <c r="BM966" t="s">
        <v>12726</v>
      </c>
      <c r="BN966">
        <v>10921359</v>
      </c>
      <c r="BO966" t="s">
        <v>1755</v>
      </c>
      <c r="BP966" t="s">
        <v>74</v>
      </c>
      <c r="BQ966" t="s">
        <v>74</v>
      </c>
      <c r="BR966" t="s">
        <v>97</v>
      </c>
      <c r="BS966" t="s">
        <v>12727</v>
      </c>
      <c r="BT966" t="str">
        <f>HYPERLINK("https%3A%2F%2Fwww.webofscience.com%2Fwos%2Fwoscc%2Ffull-record%2FWOS:000087973500005","View Full Record in Web of Science")</f>
        <v>View Full Record in Web of Science</v>
      </c>
    </row>
    <row r="967" spans="1:72" x14ac:dyDescent="0.15">
      <c r="A967" t="s">
        <v>72</v>
      </c>
      <c r="B967" t="s">
        <v>12728</v>
      </c>
      <c r="C967" t="s">
        <v>74</v>
      </c>
      <c r="D967" t="s">
        <v>74</v>
      </c>
      <c r="E967" t="s">
        <v>74</v>
      </c>
      <c r="F967" t="s">
        <v>12728</v>
      </c>
      <c r="G967" t="s">
        <v>74</v>
      </c>
      <c r="H967" t="s">
        <v>74</v>
      </c>
      <c r="I967" t="s">
        <v>12729</v>
      </c>
      <c r="J967" t="s">
        <v>4671</v>
      </c>
      <c r="K967" t="s">
        <v>74</v>
      </c>
      <c r="L967" t="s">
        <v>74</v>
      </c>
      <c r="M967" t="s">
        <v>77</v>
      </c>
      <c r="N967" t="s">
        <v>78</v>
      </c>
      <c r="O967" t="s">
        <v>74</v>
      </c>
      <c r="P967" t="s">
        <v>74</v>
      </c>
      <c r="Q967" t="s">
        <v>74</v>
      </c>
      <c r="R967" t="s">
        <v>74</v>
      </c>
      <c r="S967" t="s">
        <v>74</v>
      </c>
      <c r="T967" t="s">
        <v>12730</v>
      </c>
      <c r="U967" t="s">
        <v>12731</v>
      </c>
      <c r="V967" t="s">
        <v>12732</v>
      </c>
      <c r="W967" t="s">
        <v>833</v>
      </c>
      <c r="X967" t="s">
        <v>221</v>
      </c>
      <c r="Y967" t="s">
        <v>961</v>
      </c>
      <c r="Z967" t="s">
        <v>12733</v>
      </c>
      <c r="AA967" t="s">
        <v>6998</v>
      </c>
      <c r="AB967" t="s">
        <v>74</v>
      </c>
      <c r="AC967" t="s">
        <v>74</v>
      </c>
      <c r="AD967" t="s">
        <v>74</v>
      </c>
      <c r="AE967" t="s">
        <v>74</v>
      </c>
      <c r="AF967" t="s">
        <v>74</v>
      </c>
      <c r="AG967">
        <v>38</v>
      </c>
      <c r="AH967">
        <v>35</v>
      </c>
      <c r="AI967">
        <v>39</v>
      </c>
      <c r="AJ967">
        <v>0</v>
      </c>
      <c r="AK967">
        <v>3</v>
      </c>
      <c r="AL967" t="s">
        <v>1120</v>
      </c>
      <c r="AM967" t="s">
        <v>1121</v>
      </c>
      <c r="AN967" t="s">
        <v>2394</v>
      </c>
      <c r="AO967" t="s">
        <v>4680</v>
      </c>
      <c r="AP967" t="s">
        <v>4681</v>
      </c>
      <c r="AQ967" t="s">
        <v>74</v>
      </c>
      <c r="AR967" t="s">
        <v>4682</v>
      </c>
      <c r="AS967" t="s">
        <v>4683</v>
      </c>
      <c r="AT967" t="s">
        <v>12734</v>
      </c>
      <c r="AU967">
        <v>2000</v>
      </c>
      <c r="AV967">
        <v>178</v>
      </c>
      <c r="AW967" t="s">
        <v>1046</v>
      </c>
      <c r="AX967" t="s">
        <v>74</v>
      </c>
      <c r="AY967" t="s">
        <v>74</v>
      </c>
      <c r="AZ967" t="s">
        <v>74</v>
      </c>
      <c r="BA967" t="s">
        <v>74</v>
      </c>
      <c r="BB967">
        <v>215</v>
      </c>
      <c r="BC967">
        <v>230</v>
      </c>
      <c r="BD967" t="s">
        <v>74</v>
      </c>
      <c r="BE967" t="s">
        <v>12735</v>
      </c>
      <c r="BF967" t="str">
        <f>HYPERLINK("http://dx.doi.org/10.1016/S0012-821X(00)00076-5","http://dx.doi.org/10.1016/S0012-821X(00)00076-5")</f>
        <v>http://dx.doi.org/10.1016/S0012-821X(00)00076-5</v>
      </c>
      <c r="BG967" t="s">
        <v>74</v>
      </c>
      <c r="BH967" t="s">
        <v>74</v>
      </c>
      <c r="BI967">
        <v>16</v>
      </c>
      <c r="BJ967" t="s">
        <v>953</v>
      </c>
      <c r="BK967" t="s">
        <v>94</v>
      </c>
      <c r="BL967" t="s">
        <v>953</v>
      </c>
      <c r="BM967" t="s">
        <v>12736</v>
      </c>
      <c r="BN967" t="s">
        <v>74</v>
      </c>
      <c r="BO967" t="s">
        <v>74</v>
      </c>
      <c r="BP967" t="s">
        <v>74</v>
      </c>
      <c r="BQ967" t="s">
        <v>74</v>
      </c>
      <c r="BR967" t="s">
        <v>97</v>
      </c>
      <c r="BS967" t="s">
        <v>12737</v>
      </c>
      <c r="BT967" t="str">
        <f>HYPERLINK("https%3A%2F%2Fwww.webofscience.com%2Fwos%2Fwoscc%2Ffull-record%2FWOS:000087474100003","View Full Record in Web of Science")</f>
        <v>View Full Record in Web of Science</v>
      </c>
    </row>
    <row r="968" spans="1:72" x14ac:dyDescent="0.15">
      <c r="A968" t="s">
        <v>72</v>
      </c>
      <c r="B968" t="s">
        <v>12738</v>
      </c>
      <c r="C968" t="s">
        <v>74</v>
      </c>
      <c r="D968" t="s">
        <v>74</v>
      </c>
      <c r="E968" t="s">
        <v>74</v>
      </c>
      <c r="F968" t="s">
        <v>12738</v>
      </c>
      <c r="G968" t="s">
        <v>74</v>
      </c>
      <c r="H968" t="s">
        <v>74</v>
      </c>
      <c r="I968" t="s">
        <v>12739</v>
      </c>
      <c r="J968" t="s">
        <v>8350</v>
      </c>
      <c r="K968" t="s">
        <v>74</v>
      </c>
      <c r="L968" t="s">
        <v>74</v>
      </c>
      <c r="M968" t="s">
        <v>77</v>
      </c>
      <c r="N968" t="s">
        <v>78</v>
      </c>
      <c r="O968" t="s">
        <v>74</v>
      </c>
      <c r="P968" t="s">
        <v>74</v>
      </c>
      <c r="Q968" t="s">
        <v>74</v>
      </c>
      <c r="R968" t="s">
        <v>74</v>
      </c>
      <c r="S968" t="s">
        <v>74</v>
      </c>
      <c r="T968" t="s">
        <v>74</v>
      </c>
      <c r="U968" t="s">
        <v>12740</v>
      </c>
      <c r="V968" t="s">
        <v>12741</v>
      </c>
      <c r="W968" t="s">
        <v>12742</v>
      </c>
      <c r="X968" t="s">
        <v>12743</v>
      </c>
      <c r="Y968" t="s">
        <v>12744</v>
      </c>
      <c r="Z968" t="s">
        <v>12745</v>
      </c>
      <c r="AA968" t="s">
        <v>12746</v>
      </c>
      <c r="AB968" t="s">
        <v>12747</v>
      </c>
      <c r="AC968" t="s">
        <v>74</v>
      </c>
      <c r="AD968" t="s">
        <v>74</v>
      </c>
      <c r="AE968" t="s">
        <v>74</v>
      </c>
      <c r="AF968" t="s">
        <v>74</v>
      </c>
      <c r="AG968">
        <v>59</v>
      </c>
      <c r="AH968">
        <v>119</v>
      </c>
      <c r="AI968">
        <v>124</v>
      </c>
      <c r="AJ968">
        <v>0</v>
      </c>
      <c r="AK968">
        <v>26</v>
      </c>
      <c r="AL968" t="s">
        <v>8354</v>
      </c>
      <c r="AM968" t="s">
        <v>1060</v>
      </c>
      <c r="AN968" t="s">
        <v>8355</v>
      </c>
      <c r="AO968" t="s">
        <v>8356</v>
      </c>
      <c r="AP968" t="s">
        <v>12748</v>
      </c>
      <c r="AQ968" t="s">
        <v>74</v>
      </c>
      <c r="AR968" t="s">
        <v>8350</v>
      </c>
      <c r="AS968" t="s">
        <v>8357</v>
      </c>
      <c r="AT968" t="s">
        <v>12749</v>
      </c>
      <c r="AU968">
        <v>2000</v>
      </c>
      <c r="AV968">
        <v>288</v>
      </c>
      <c r="AW968">
        <v>5470</v>
      </c>
      <c r="AX968" t="s">
        <v>74</v>
      </c>
      <c r="AY968" t="s">
        <v>74</v>
      </c>
      <c r="AZ968" t="s">
        <v>74</v>
      </c>
      <c r="BA968" t="s">
        <v>74</v>
      </c>
      <c r="BB968">
        <v>1407</v>
      </c>
      <c r="BC968">
        <v>1411</v>
      </c>
      <c r="BD968" t="s">
        <v>74</v>
      </c>
      <c r="BE968" t="s">
        <v>12750</v>
      </c>
      <c r="BF968" t="str">
        <f>HYPERLINK("http://dx.doi.org/10.1126/science.288.5470.1407","http://dx.doi.org/10.1126/science.288.5470.1407")</f>
        <v>http://dx.doi.org/10.1126/science.288.5470.1407</v>
      </c>
      <c r="BG968" t="s">
        <v>74</v>
      </c>
      <c r="BH968" t="s">
        <v>74</v>
      </c>
      <c r="BI968">
        <v>5</v>
      </c>
      <c r="BJ968" t="s">
        <v>93</v>
      </c>
      <c r="BK968" t="s">
        <v>94</v>
      </c>
      <c r="BL968" t="s">
        <v>95</v>
      </c>
      <c r="BM968" t="s">
        <v>12751</v>
      </c>
      <c r="BN968">
        <v>10827948</v>
      </c>
      <c r="BO968" t="s">
        <v>74</v>
      </c>
      <c r="BP968" t="s">
        <v>74</v>
      </c>
      <c r="BQ968" t="s">
        <v>74</v>
      </c>
      <c r="BR968" t="s">
        <v>97</v>
      </c>
      <c r="BS968" t="s">
        <v>12752</v>
      </c>
      <c r="BT968" t="str">
        <f>HYPERLINK("https%3A%2F%2Fwww.webofscience.com%2Fwos%2Fwoscc%2Ffull-record%2FWOS:000087270900046","View Full Record in Web of Science")</f>
        <v>View Full Record in Web of Science</v>
      </c>
    </row>
    <row r="969" spans="1:72" x14ac:dyDescent="0.15">
      <c r="A969" t="s">
        <v>72</v>
      </c>
      <c r="B969" t="s">
        <v>12753</v>
      </c>
      <c r="C969" t="s">
        <v>74</v>
      </c>
      <c r="D969" t="s">
        <v>74</v>
      </c>
      <c r="E969" t="s">
        <v>74</v>
      </c>
      <c r="F969" t="s">
        <v>12753</v>
      </c>
      <c r="G969" t="s">
        <v>74</v>
      </c>
      <c r="H969" t="s">
        <v>74</v>
      </c>
      <c r="I969" t="s">
        <v>12754</v>
      </c>
      <c r="J969" t="s">
        <v>12755</v>
      </c>
      <c r="K969" t="s">
        <v>74</v>
      </c>
      <c r="L969" t="s">
        <v>74</v>
      </c>
      <c r="M969" t="s">
        <v>77</v>
      </c>
      <c r="N969" t="s">
        <v>78</v>
      </c>
      <c r="O969" t="s">
        <v>74</v>
      </c>
      <c r="P969" t="s">
        <v>74</v>
      </c>
      <c r="Q969" t="s">
        <v>74</v>
      </c>
      <c r="R969" t="s">
        <v>74</v>
      </c>
      <c r="S969" t="s">
        <v>74</v>
      </c>
      <c r="T969" t="s">
        <v>12756</v>
      </c>
      <c r="U969" t="s">
        <v>12757</v>
      </c>
      <c r="V969" t="s">
        <v>12758</v>
      </c>
      <c r="W969" t="s">
        <v>5564</v>
      </c>
      <c r="X969" t="s">
        <v>5565</v>
      </c>
      <c r="Y969" t="s">
        <v>12759</v>
      </c>
      <c r="Z969" t="s">
        <v>74</v>
      </c>
      <c r="AA969" t="s">
        <v>12760</v>
      </c>
      <c r="AB969" t="s">
        <v>74</v>
      </c>
      <c r="AC969" t="s">
        <v>74</v>
      </c>
      <c r="AD969" t="s">
        <v>74</v>
      </c>
      <c r="AE969" t="s">
        <v>74</v>
      </c>
      <c r="AF969" t="s">
        <v>74</v>
      </c>
      <c r="AG969">
        <v>23</v>
      </c>
      <c r="AH969">
        <v>27</v>
      </c>
      <c r="AI969">
        <v>28</v>
      </c>
      <c r="AJ969">
        <v>0</v>
      </c>
      <c r="AK969">
        <v>2</v>
      </c>
      <c r="AL969" t="s">
        <v>2823</v>
      </c>
      <c r="AM969" t="s">
        <v>2824</v>
      </c>
      <c r="AN969" t="s">
        <v>2825</v>
      </c>
      <c r="AO969" t="s">
        <v>12761</v>
      </c>
      <c r="AP969" t="s">
        <v>74</v>
      </c>
      <c r="AQ969" t="s">
        <v>74</v>
      </c>
      <c r="AR969" t="s">
        <v>12762</v>
      </c>
      <c r="AS969" t="s">
        <v>12763</v>
      </c>
      <c r="AT969" t="s">
        <v>12764</v>
      </c>
      <c r="AU969">
        <v>2000</v>
      </c>
      <c r="AV969">
        <v>41</v>
      </c>
      <c r="AW969">
        <v>1</v>
      </c>
      <c r="AX969" t="s">
        <v>74</v>
      </c>
      <c r="AY969" t="s">
        <v>74</v>
      </c>
      <c r="AZ969" t="s">
        <v>74</v>
      </c>
      <c r="BA969" t="s">
        <v>74</v>
      </c>
      <c r="BB969">
        <v>37</v>
      </c>
      <c r="BC969">
        <v>42</v>
      </c>
      <c r="BD969" t="s">
        <v>74</v>
      </c>
      <c r="BE969" t="s">
        <v>12765</v>
      </c>
      <c r="BF969" t="str">
        <f>HYPERLINK("http://dx.doi.org/10.3354/dao041037","http://dx.doi.org/10.3354/dao041037")</f>
        <v>http://dx.doi.org/10.3354/dao041037</v>
      </c>
      <c r="BG969" t="s">
        <v>74</v>
      </c>
      <c r="BH969" t="s">
        <v>74</v>
      </c>
      <c r="BI969">
        <v>6</v>
      </c>
      <c r="BJ969" t="s">
        <v>12766</v>
      </c>
      <c r="BK969" t="s">
        <v>94</v>
      </c>
      <c r="BL969" t="s">
        <v>12766</v>
      </c>
      <c r="BM969" t="s">
        <v>12767</v>
      </c>
      <c r="BN969">
        <v>10907137</v>
      </c>
      <c r="BO969" t="s">
        <v>1755</v>
      </c>
      <c r="BP969" t="s">
        <v>74</v>
      </c>
      <c r="BQ969" t="s">
        <v>74</v>
      </c>
      <c r="BR969" t="s">
        <v>97</v>
      </c>
      <c r="BS969" t="s">
        <v>12768</v>
      </c>
      <c r="BT969" t="str">
        <f>HYPERLINK("https%3A%2F%2Fwww.webofscience.com%2Fwos%2Fwoscc%2Ffull-record%2FWOS:000088310100005","View Full Record in Web of Science")</f>
        <v>View Full Record in Web of Science</v>
      </c>
    </row>
    <row r="970" spans="1:72" x14ac:dyDescent="0.15">
      <c r="A970" t="s">
        <v>72</v>
      </c>
      <c r="B970" t="s">
        <v>12769</v>
      </c>
      <c r="C970" t="s">
        <v>74</v>
      </c>
      <c r="D970" t="s">
        <v>74</v>
      </c>
      <c r="E970" t="s">
        <v>74</v>
      </c>
      <c r="F970" t="s">
        <v>12769</v>
      </c>
      <c r="G970" t="s">
        <v>74</v>
      </c>
      <c r="H970" t="s">
        <v>74</v>
      </c>
      <c r="I970" t="s">
        <v>12770</v>
      </c>
      <c r="J970" t="s">
        <v>12771</v>
      </c>
      <c r="K970" t="s">
        <v>74</v>
      </c>
      <c r="L970" t="s">
        <v>74</v>
      </c>
      <c r="M970" t="s">
        <v>77</v>
      </c>
      <c r="N970" t="s">
        <v>78</v>
      </c>
      <c r="O970" t="s">
        <v>74</v>
      </c>
      <c r="P970" t="s">
        <v>74</v>
      </c>
      <c r="Q970" t="s">
        <v>74</v>
      </c>
      <c r="R970" t="s">
        <v>74</v>
      </c>
      <c r="S970" t="s">
        <v>74</v>
      </c>
      <c r="T970" t="s">
        <v>74</v>
      </c>
      <c r="U970" t="s">
        <v>12772</v>
      </c>
      <c r="V970" t="s">
        <v>12773</v>
      </c>
      <c r="W970" t="s">
        <v>12774</v>
      </c>
      <c r="X970" t="s">
        <v>12775</v>
      </c>
      <c r="Y970" t="s">
        <v>12776</v>
      </c>
      <c r="Z970" t="s">
        <v>12777</v>
      </c>
      <c r="AA970" t="s">
        <v>74</v>
      </c>
      <c r="AB970" t="s">
        <v>74</v>
      </c>
      <c r="AC970" t="s">
        <v>74</v>
      </c>
      <c r="AD970" t="s">
        <v>74</v>
      </c>
      <c r="AE970" t="s">
        <v>74</v>
      </c>
      <c r="AF970" t="s">
        <v>74</v>
      </c>
      <c r="AG970">
        <v>32</v>
      </c>
      <c r="AH970">
        <v>7</v>
      </c>
      <c r="AI970">
        <v>7</v>
      </c>
      <c r="AJ970">
        <v>1</v>
      </c>
      <c r="AK970">
        <v>5</v>
      </c>
      <c r="AL970" t="s">
        <v>4832</v>
      </c>
      <c r="AM970" t="s">
        <v>1060</v>
      </c>
      <c r="AN970" t="s">
        <v>4833</v>
      </c>
      <c r="AO970" t="s">
        <v>12778</v>
      </c>
      <c r="AP970" t="s">
        <v>74</v>
      </c>
      <c r="AQ970" t="s">
        <v>74</v>
      </c>
      <c r="AR970" t="s">
        <v>12779</v>
      </c>
      <c r="AS970" t="s">
        <v>12780</v>
      </c>
      <c r="AT970" t="s">
        <v>12781</v>
      </c>
      <c r="AU970">
        <v>2000</v>
      </c>
      <c r="AV970">
        <v>104</v>
      </c>
      <c r="AW970">
        <v>19</v>
      </c>
      <c r="AX970" t="s">
        <v>74</v>
      </c>
      <c r="AY970" t="s">
        <v>74</v>
      </c>
      <c r="AZ970" t="s">
        <v>74</v>
      </c>
      <c r="BA970" t="s">
        <v>74</v>
      </c>
      <c r="BB970">
        <v>4649</v>
      </c>
      <c r="BC970">
        <v>4652</v>
      </c>
      <c r="BD970" t="s">
        <v>74</v>
      </c>
      <c r="BE970" t="s">
        <v>12782</v>
      </c>
      <c r="BF970" t="str">
        <f>HYPERLINK("http://dx.doi.org/10.1021/jp992889f","http://dx.doi.org/10.1021/jp992889f")</f>
        <v>http://dx.doi.org/10.1021/jp992889f</v>
      </c>
      <c r="BG970" t="s">
        <v>74</v>
      </c>
      <c r="BH970" t="s">
        <v>74</v>
      </c>
      <c r="BI970">
        <v>4</v>
      </c>
      <c r="BJ970" t="s">
        <v>12679</v>
      </c>
      <c r="BK970" t="s">
        <v>94</v>
      </c>
      <c r="BL970" t="s">
        <v>934</v>
      </c>
      <c r="BM970" t="s">
        <v>12783</v>
      </c>
      <c r="BN970" t="s">
        <v>74</v>
      </c>
      <c r="BO970" t="s">
        <v>74</v>
      </c>
      <c r="BP970" t="s">
        <v>74</v>
      </c>
      <c r="BQ970" t="s">
        <v>74</v>
      </c>
      <c r="BR970" t="s">
        <v>97</v>
      </c>
      <c r="BS970" t="s">
        <v>12784</v>
      </c>
      <c r="BT970" t="str">
        <f>HYPERLINK("https%3A%2F%2Fwww.webofscience.com%2Fwos%2Fwoscc%2Ffull-record%2FWOS:000087003700010","View Full Record in Web of Science")</f>
        <v>View Full Record in Web of Science</v>
      </c>
    </row>
    <row r="971" spans="1:72" x14ac:dyDescent="0.15">
      <c r="A971" t="s">
        <v>72</v>
      </c>
      <c r="B971" t="s">
        <v>12785</v>
      </c>
      <c r="C971" t="s">
        <v>74</v>
      </c>
      <c r="D971" t="s">
        <v>74</v>
      </c>
      <c r="E971" t="s">
        <v>74</v>
      </c>
      <c r="F971" t="s">
        <v>12785</v>
      </c>
      <c r="G971" t="s">
        <v>74</v>
      </c>
      <c r="H971" t="s">
        <v>74</v>
      </c>
      <c r="I971" t="s">
        <v>12786</v>
      </c>
      <c r="J971" t="s">
        <v>4772</v>
      </c>
      <c r="K971" t="s">
        <v>74</v>
      </c>
      <c r="L971" t="s">
        <v>74</v>
      </c>
      <c r="M971" t="s">
        <v>77</v>
      </c>
      <c r="N971" t="s">
        <v>78</v>
      </c>
      <c r="O971" t="s">
        <v>74</v>
      </c>
      <c r="P971" t="s">
        <v>74</v>
      </c>
      <c r="Q971" t="s">
        <v>74</v>
      </c>
      <c r="R971" t="s">
        <v>74</v>
      </c>
      <c r="S971" t="s">
        <v>74</v>
      </c>
      <c r="T971" t="s">
        <v>74</v>
      </c>
      <c r="U971" t="s">
        <v>12787</v>
      </c>
      <c r="V971" t="s">
        <v>12788</v>
      </c>
      <c r="W971" t="s">
        <v>885</v>
      </c>
      <c r="X971" t="s">
        <v>221</v>
      </c>
      <c r="Y971" t="s">
        <v>12789</v>
      </c>
      <c r="Z971" t="s">
        <v>12790</v>
      </c>
      <c r="AA971" t="s">
        <v>12791</v>
      </c>
      <c r="AB971" t="s">
        <v>12792</v>
      </c>
      <c r="AC971" t="s">
        <v>74</v>
      </c>
      <c r="AD971" t="s">
        <v>74</v>
      </c>
      <c r="AE971" t="s">
        <v>74</v>
      </c>
      <c r="AF971" t="s">
        <v>74</v>
      </c>
      <c r="AG971">
        <v>24</v>
      </c>
      <c r="AH971">
        <v>51</v>
      </c>
      <c r="AI971">
        <v>52</v>
      </c>
      <c r="AJ971">
        <v>0</v>
      </c>
      <c r="AK971">
        <v>11</v>
      </c>
      <c r="AL971" t="s">
        <v>1059</v>
      </c>
      <c r="AM971" t="s">
        <v>1060</v>
      </c>
      <c r="AN971" t="s">
        <v>1061</v>
      </c>
      <c r="AO971" t="s">
        <v>4798</v>
      </c>
      <c r="AP971" t="s">
        <v>74</v>
      </c>
      <c r="AQ971" t="s">
        <v>74</v>
      </c>
      <c r="AR971" t="s">
        <v>4781</v>
      </c>
      <c r="AS971" t="s">
        <v>4782</v>
      </c>
      <c r="AT971" t="s">
        <v>12793</v>
      </c>
      <c r="AU971">
        <v>2000</v>
      </c>
      <c r="AV971">
        <v>105</v>
      </c>
      <c r="AW971" t="s">
        <v>12794</v>
      </c>
      <c r="AX971" t="s">
        <v>74</v>
      </c>
      <c r="AY971" t="s">
        <v>74</v>
      </c>
      <c r="AZ971" t="s">
        <v>74</v>
      </c>
      <c r="BA971" t="s">
        <v>74</v>
      </c>
      <c r="BB971">
        <v>11525</v>
      </c>
      <c r="BC971">
        <v>11534</v>
      </c>
      <c r="BD971" t="s">
        <v>74</v>
      </c>
      <c r="BE971" t="s">
        <v>12795</v>
      </c>
      <c r="BF971" t="str">
        <f>HYPERLINK("http://dx.doi.org/10.1029/2000JD900006","http://dx.doi.org/10.1029/2000JD900006")</f>
        <v>http://dx.doi.org/10.1029/2000JD900006</v>
      </c>
      <c r="BG971" t="s">
        <v>74</v>
      </c>
      <c r="BH971" t="s">
        <v>74</v>
      </c>
      <c r="BI971">
        <v>10</v>
      </c>
      <c r="BJ971" t="s">
        <v>167</v>
      </c>
      <c r="BK971" t="s">
        <v>94</v>
      </c>
      <c r="BL971" t="s">
        <v>167</v>
      </c>
      <c r="BM971" t="s">
        <v>12796</v>
      </c>
      <c r="BN971" t="s">
        <v>74</v>
      </c>
      <c r="BO971" t="s">
        <v>2428</v>
      </c>
      <c r="BP971" t="s">
        <v>74</v>
      </c>
      <c r="BQ971" t="s">
        <v>74</v>
      </c>
      <c r="BR971" t="s">
        <v>97</v>
      </c>
      <c r="BS971" t="s">
        <v>12797</v>
      </c>
      <c r="BT971" t="str">
        <f>HYPERLINK("https%3A%2F%2Fwww.webofscience.com%2Fwos%2Fwoscc%2Ffull-record%2FWOS:000087125700001","View Full Record in Web of Science")</f>
        <v>View Full Record in Web of Science</v>
      </c>
    </row>
    <row r="972" spans="1:72" x14ac:dyDescent="0.15">
      <c r="A972" t="s">
        <v>72</v>
      </c>
      <c r="B972" t="s">
        <v>12798</v>
      </c>
      <c r="C972" t="s">
        <v>74</v>
      </c>
      <c r="D972" t="s">
        <v>74</v>
      </c>
      <c r="E972" t="s">
        <v>74</v>
      </c>
      <c r="F972" t="s">
        <v>12798</v>
      </c>
      <c r="G972" t="s">
        <v>74</v>
      </c>
      <c r="H972" t="s">
        <v>74</v>
      </c>
      <c r="I972" t="s">
        <v>12799</v>
      </c>
      <c r="J972" t="s">
        <v>4772</v>
      </c>
      <c r="K972" t="s">
        <v>74</v>
      </c>
      <c r="L972" t="s">
        <v>74</v>
      </c>
      <c r="M972" t="s">
        <v>77</v>
      </c>
      <c r="N972" t="s">
        <v>78</v>
      </c>
      <c r="O972" t="s">
        <v>74</v>
      </c>
      <c r="P972" t="s">
        <v>74</v>
      </c>
      <c r="Q972" t="s">
        <v>74</v>
      </c>
      <c r="R972" t="s">
        <v>74</v>
      </c>
      <c r="S972" t="s">
        <v>74</v>
      </c>
      <c r="T972" t="s">
        <v>74</v>
      </c>
      <c r="U972" t="s">
        <v>12800</v>
      </c>
      <c r="V972" t="s">
        <v>12801</v>
      </c>
      <c r="W972" t="s">
        <v>12802</v>
      </c>
      <c r="X972" t="s">
        <v>12803</v>
      </c>
      <c r="Y972" t="s">
        <v>10549</v>
      </c>
      <c r="Z972" t="s">
        <v>12804</v>
      </c>
      <c r="AA972" t="s">
        <v>12805</v>
      </c>
      <c r="AB972" t="s">
        <v>12806</v>
      </c>
      <c r="AC972" t="s">
        <v>74</v>
      </c>
      <c r="AD972" t="s">
        <v>74</v>
      </c>
      <c r="AE972" t="s">
        <v>74</v>
      </c>
      <c r="AF972" t="s">
        <v>74</v>
      </c>
      <c r="AG972">
        <v>31</v>
      </c>
      <c r="AH972">
        <v>21</v>
      </c>
      <c r="AI972">
        <v>23</v>
      </c>
      <c r="AJ972">
        <v>0</v>
      </c>
      <c r="AK972">
        <v>2</v>
      </c>
      <c r="AL972" t="s">
        <v>1059</v>
      </c>
      <c r="AM972" t="s">
        <v>1060</v>
      </c>
      <c r="AN972" t="s">
        <v>1061</v>
      </c>
      <c r="AO972" t="s">
        <v>4798</v>
      </c>
      <c r="AP972" t="s">
        <v>4799</v>
      </c>
      <c r="AQ972" t="s">
        <v>74</v>
      </c>
      <c r="AR972" t="s">
        <v>4781</v>
      </c>
      <c r="AS972" t="s">
        <v>4782</v>
      </c>
      <c r="AT972" t="s">
        <v>12793</v>
      </c>
      <c r="AU972">
        <v>2000</v>
      </c>
      <c r="AV972">
        <v>105</v>
      </c>
      <c r="AW972" t="s">
        <v>12794</v>
      </c>
      <c r="AX972" t="s">
        <v>74</v>
      </c>
      <c r="AY972" t="s">
        <v>74</v>
      </c>
      <c r="AZ972" t="s">
        <v>74</v>
      </c>
      <c r="BA972" t="s">
        <v>74</v>
      </c>
      <c r="BB972">
        <v>11935</v>
      </c>
      <c r="BC972">
        <v>11946</v>
      </c>
      <c r="BD972" t="s">
        <v>74</v>
      </c>
      <c r="BE972" t="s">
        <v>12807</v>
      </c>
      <c r="BF972" t="str">
        <f>HYPERLINK("http://dx.doi.org/10.1029/2000JD900076","http://dx.doi.org/10.1029/2000JD900076")</f>
        <v>http://dx.doi.org/10.1029/2000JD900076</v>
      </c>
      <c r="BG972" t="s">
        <v>74</v>
      </c>
      <c r="BH972" t="s">
        <v>74</v>
      </c>
      <c r="BI972">
        <v>12</v>
      </c>
      <c r="BJ972" t="s">
        <v>167</v>
      </c>
      <c r="BK972" t="s">
        <v>94</v>
      </c>
      <c r="BL972" t="s">
        <v>167</v>
      </c>
      <c r="BM972" t="s">
        <v>12796</v>
      </c>
      <c r="BN972" t="s">
        <v>74</v>
      </c>
      <c r="BO972" t="s">
        <v>8840</v>
      </c>
      <c r="BP972" t="s">
        <v>74</v>
      </c>
      <c r="BQ972" t="s">
        <v>74</v>
      </c>
      <c r="BR972" t="s">
        <v>97</v>
      </c>
      <c r="BS972" t="s">
        <v>12808</v>
      </c>
      <c r="BT972" t="str">
        <f>HYPERLINK("https%3A%2F%2Fwww.webofscience.com%2Fwos%2Fwoscc%2Ffull-record%2FWOS:000087125700033","View Full Record in Web of Science")</f>
        <v>View Full Record in Web of Science</v>
      </c>
    </row>
    <row r="973" spans="1:72" x14ac:dyDescent="0.15">
      <c r="A973" t="s">
        <v>72</v>
      </c>
      <c r="B973" t="s">
        <v>12809</v>
      </c>
      <c r="C973" t="s">
        <v>74</v>
      </c>
      <c r="D973" t="s">
        <v>74</v>
      </c>
      <c r="E973" t="s">
        <v>74</v>
      </c>
      <c r="F973" t="s">
        <v>12809</v>
      </c>
      <c r="G973" t="s">
        <v>74</v>
      </c>
      <c r="H973" t="s">
        <v>74</v>
      </c>
      <c r="I973" t="s">
        <v>12810</v>
      </c>
      <c r="J973" t="s">
        <v>12811</v>
      </c>
      <c r="K973" t="s">
        <v>74</v>
      </c>
      <c r="L973" t="s">
        <v>74</v>
      </c>
      <c r="M973" t="s">
        <v>77</v>
      </c>
      <c r="N973" t="s">
        <v>78</v>
      </c>
      <c r="O973" t="s">
        <v>74</v>
      </c>
      <c r="P973" t="s">
        <v>74</v>
      </c>
      <c r="Q973" t="s">
        <v>74</v>
      </c>
      <c r="R973" t="s">
        <v>74</v>
      </c>
      <c r="S973" t="s">
        <v>74</v>
      </c>
      <c r="T973" t="s">
        <v>12812</v>
      </c>
      <c r="U973" t="s">
        <v>12813</v>
      </c>
      <c r="V973" t="s">
        <v>12814</v>
      </c>
      <c r="W973" t="s">
        <v>12815</v>
      </c>
      <c r="X973" t="s">
        <v>12816</v>
      </c>
      <c r="Y973" t="s">
        <v>12817</v>
      </c>
      <c r="Z973" t="s">
        <v>74</v>
      </c>
      <c r="AA973" t="s">
        <v>12818</v>
      </c>
      <c r="AB973" t="s">
        <v>12819</v>
      </c>
      <c r="AC973" t="s">
        <v>74</v>
      </c>
      <c r="AD973" t="s">
        <v>74</v>
      </c>
      <c r="AE973" t="s">
        <v>74</v>
      </c>
      <c r="AF973" t="s">
        <v>74</v>
      </c>
      <c r="AG973">
        <v>11</v>
      </c>
      <c r="AH973">
        <v>62</v>
      </c>
      <c r="AI973">
        <v>66</v>
      </c>
      <c r="AJ973">
        <v>0</v>
      </c>
      <c r="AK973">
        <v>6</v>
      </c>
      <c r="AL973" t="s">
        <v>1120</v>
      </c>
      <c r="AM973" t="s">
        <v>1121</v>
      </c>
      <c r="AN973" t="s">
        <v>2394</v>
      </c>
      <c r="AO973" t="s">
        <v>12820</v>
      </c>
      <c r="AP973" t="s">
        <v>74</v>
      </c>
      <c r="AQ973" t="s">
        <v>74</v>
      </c>
      <c r="AR973" t="s">
        <v>12821</v>
      </c>
      <c r="AS973" t="s">
        <v>12822</v>
      </c>
      <c r="AT973" t="s">
        <v>12823</v>
      </c>
      <c r="AU973">
        <v>2000</v>
      </c>
      <c r="AV973">
        <v>186</v>
      </c>
      <c r="AW973">
        <v>2</v>
      </c>
      <c r="AX973" t="s">
        <v>74</v>
      </c>
      <c r="AY973" t="s">
        <v>74</v>
      </c>
      <c r="AZ973" t="s">
        <v>74</v>
      </c>
      <c r="BA973" t="s">
        <v>74</v>
      </c>
      <c r="BB973">
        <v>193</v>
      </c>
      <c r="BC973">
        <v>195</v>
      </c>
      <c r="BD973" t="s">
        <v>74</v>
      </c>
      <c r="BE973" t="s">
        <v>12824</v>
      </c>
      <c r="BF973" t="str">
        <f>HYPERLINK("http://dx.doi.org/10.1111/j.1574-6968.2000.tb09103.x","http://dx.doi.org/10.1111/j.1574-6968.2000.tb09103.x")</f>
        <v>http://dx.doi.org/10.1111/j.1574-6968.2000.tb09103.x</v>
      </c>
      <c r="BG973" t="s">
        <v>74</v>
      </c>
      <c r="BH973" t="s">
        <v>74</v>
      </c>
      <c r="BI973">
        <v>3</v>
      </c>
      <c r="BJ973" t="s">
        <v>725</v>
      </c>
      <c r="BK973" t="s">
        <v>94</v>
      </c>
      <c r="BL973" t="s">
        <v>725</v>
      </c>
      <c r="BM973" t="s">
        <v>12825</v>
      </c>
      <c r="BN973">
        <v>10802170</v>
      </c>
      <c r="BO973" t="s">
        <v>1755</v>
      </c>
      <c r="BP973" t="s">
        <v>74</v>
      </c>
      <c r="BQ973" t="s">
        <v>74</v>
      </c>
      <c r="BR973" t="s">
        <v>97</v>
      </c>
      <c r="BS973" t="s">
        <v>12826</v>
      </c>
      <c r="BT973" t="str">
        <f>HYPERLINK("https%3A%2F%2Fwww.webofscience.com%2Fwos%2Fwoscc%2Ffull-record%2FWOS:000086973800009","View Full Record in Web of Science")</f>
        <v>View Full Record in Web of Science</v>
      </c>
    </row>
    <row r="974" spans="1:72" x14ac:dyDescent="0.15">
      <c r="A974" t="s">
        <v>72</v>
      </c>
      <c r="B974" t="s">
        <v>12827</v>
      </c>
      <c r="C974" t="s">
        <v>74</v>
      </c>
      <c r="D974" t="s">
        <v>74</v>
      </c>
      <c r="E974" t="s">
        <v>74</v>
      </c>
      <c r="F974" t="s">
        <v>12827</v>
      </c>
      <c r="G974" t="s">
        <v>74</v>
      </c>
      <c r="H974" t="s">
        <v>74</v>
      </c>
      <c r="I974" t="s">
        <v>12828</v>
      </c>
      <c r="J974" t="s">
        <v>1053</v>
      </c>
      <c r="K974" t="s">
        <v>74</v>
      </c>
      <c r="L974" t="s">
        <v>74</v>
      </c>
      <c r="M974" t="s">
        <v>77</v>
      </c>
      <c r="N974" t="s">
        <v>6591</v>
      </c>
      <c r="O974" t="s">
        <v>74</v>
      </c>
      <c r="P974" t="s">
        <v>74</v>
      </c>
      <c r="Q974" t="s">
        <v>74</v>
      </c>
      <c r="R974" t="s">
        <v>74</v>
      </c>
      <c r="S974" t="s">
        <v>74</v>
      </c>
      <c r="T974" t="s">
        <v>74</v>
      </c>
      <c r="U974" t="s">
        <v>74</v>
      </c>
      <c r="V974" t="s">
        <v>74</v>
      </c>
      <c r="W974" t="s">
        <v>12829</v>
      </c>
      <c r="X974" t="s">
        <v>12830</v>
      </c>
      <c r="Y974" t="s">
        <v>12831</v>
      </c>
      <c r="Z974" t="s">
        <v>74</v>
      </c>
      <c r="AA974" t="s">
        <v>12832</v>
      </c>
      <c r="AB974" t="s">
        <v>74</v>
      </c>
      <c r="AC974" t="s">
        <v>74</v>
      </c>
      <c r="AD974" t="s">
        <v>74</v>
      </c>
      <c r="AE974" t="s">
        <v>74</v>
      </c>
      <c r="AF974" t="s">
        <v>74</v>
      </c>
      <c r="AG974">
        <v>1</v>
      </c>
      <c r="AH974">
        <v>0</v>
      </c>
      <c r="AI974">
        <v>0</v>
      </c>
      <c r="AJ974">
        <v>0</v>
      </c>
      <c r="AK974">
        <v>1</v>
      </c>
      <c r="AL974" t="s">
        <v>1059</v>
      </c>
      <c r="AM974" t="s">
        <v>1060</v>
      </c>
      <c r="AN974" t="s">
        <v>1061</v>
      </c>
      <c r="AO974" t="s">
        <v>1062</v>
      </c>
      <c r="AP974" t="s">
        <v>74</v>
      </c>
      <c r="AQ974" t="s">
        <v>74</v>
      </c>
      <c r="AR974" t="s">
        <v>1063</v>
      </c>
      <c r="AS974" t="s">
        <v>1064</v>
      </c>
      <c r="AT974" t="s">
        <v>12823</v>
      </c>
      <c r="AU974">
        <v>2000</v>
      </c>
      <c r="AV974">
        <v>27</v>
      </c>
      <c r="AW974">
        <v>10</v>
      </c>
      <c r="AX974" t="s">
        <v>74</v>
      </c>
      <c r="AY974" t="s">
        <v>74</v>
      </c>
      <c r="AZ974" t="s">
        <v>74</v>
      </c>
      <c r="BA974" t="s">
        <v>74</v>
      </c>
      <c r="BB974">
        <v>1563</v>
      </c>
      <c r="BC974">
        <v>1563</v>
      </c>
      <c r="BD974" t="s">
        <v>74</v>
      </c>
      <c r="BE974" t="s">
        <v>12833</v>
      </c>
      <c r="BF974" t="str">
        <f>HYPERLINK("http://dx.doi.org/10.1029/2000GL900007","http://dx.doi.org/10.1029/2000GL900007")</f>
        <v>http://dx.doi.org/10.1029/2000GL900007</v>
      </c>
      <c r="BG974" t="s">
        <v>74</v>
      </c>
      <c r="BH974" t="s">
        <v>74</v>
      </c>
      <c r="BI974">
        <v>1</v>
      </c>
      <c r="BJ974" t="s">
        <v>595</v>
      </c>
      <c r="BK974" t="s">
        <v>94</v>
      </c>
      <c r="BL974" t="s">
        <v>597</v>
      </c>
      <c r="BM974" t="s">
        <v>12834</v>
      </c>
      <c r="BN974" t="s">
        <v>74</v>
      </c>
      <c r="BO974" t="s">
        <v>1755</v>
      </c>
      <c r="BP974" t="s">
        <v>74</v>
      </c>
      <c r="BQ974" t="s">
        <v>74</v>
      </c>
      <c r="BR974" t="s">
        <v>97</v>
      </c>
      <c r="BS974" t="s">
        <v>12835</v>
      </c>
      <c r="BT974" t="str">
        <f>HYPERLINK("https%3A%2F%2Fwww.webofscience.com%2Fwos%2Fwoscc%2Ffull-record%2FWOS:000087062000035","View Full Record in Web of Science")</f>
        <v>View Full Record in Web of Science</v>
      </c>
    </row>
    <row r="975" spans="1:72" x14ac:dyDescent="0.15">
      <c r="A975" t="s">
        <v>72</v>
      </c>
      <c r="B975" t="s">
        <v>12836</v>
      </c>
      <c r="C975" t="s">
        <v>74</v>
      </c>
      <c r="D975" t="s">
        <v>74</v>
      </c>
      <c r="E975" t="s">
        <v>74</v>
      </c>
      <c r="F975" t="s">
        <v>12836</v>
      </c>
      <c r="G975" t="s">
        <v>74</v>
      </c>
      <c r="H975" t="s">
        <v>74</v>
      </c>
      <c r="I975" t="s">
        <v>12837</v>
      </c>
      <c r="J975" t="s">
        <v>1245</v>
      </c>
      <c r="K975" t="s">
        <v>74</v>
      </c>
      <c r="L975" t="s">
        <v>74</v>
      </c>
      <c r="M975" t="s">
        <v>77</v>
      </c>
      <c r="N975" t="s">
        <v>576</v>
      </c>
      <c r="O975" t="s">
        <v>12838</v>
      </c>
      <c r="P975" t="s">
        <v>12839</v>
      </c>
      <c r="Q975" t="s">
        <v>12840</v>
      </c>
      <c r="R975" t="s">
        <v>74</v>
      </c>
      <c r="S975" t="s">
        <v>74</v>
      </c>
      <c r="T975" t="s">
        <v>12841</v>
      </c>
      <c r="U975" t="s">
        <v>12842</v>
      </c>
      <c r="V975" t="s">
        <v>12843</v>
      </c>
      <c r="W975" t="s">
        <v>12844</v>
      </c>
      <c r="X975" t="s">
        <v>74</v>
      </c>
      <c r="Y975" t="s">
        <v>12845</v>
      </c>
      <c r="Z975" t="s">
        <v>12846</v>
      </c>
      <c r="AA975" t="s">
        <v>74</v>
      </c>
      <c r="AB975" t="s">
        <v>74</v>
      </c>
      <c r="AC975" t="s">
        <v>74</v>
      </c>
      <c r="AD975" t="s">
        <v>74</v>
      </c>
      <c r="AE975" t="s">
        <v>74</v>
      </c>
      <c r="AF975" t="s">
        <v>74</v>
      </c>
      <c r="AG975">
        <v>51</v>
      </c>
      <c r="AH975">
        <v>24</v>
      </c>
      <c r="AI975">
        <v>30</v>
      </c>
      <c r="AJ975">
        <v>0</v>
      </c>
      <c r="AK975">
        <v>13</v>
      </c>
      <c r="AL975" t="s">
        <v>906</v>
      </c>
      <c r="AM975" t="s">
        <v>738</v>
      </c>
      <c r="AN975" t="s">
        <v>1253</v>
      </c>
      <c r="AO975" t="s">
        <v>1254</v>
      </c>
      <c r="AP975" t="s">
        <v>1255</v>
      </c>
      <c r="AQ975" t="s">
        <v>74</v>
      </c>
      <c r="AR975" t="s">
        <v>1245</v>
      </c>
      <c r="AS975" t="s">
        <v>1256</v>
      </c>
      <c r="AT975" t="s">
        <v>12823</v>
      </c>
      <c r="AU975">
        <v>2000</v>
      </c>
      <c r="AV975">
        <v>426</v>
      </c>
      <c r="AW975" t="s">
        <v>1257</v>
      </c>
      <c r="AX975" t="s">
        <v>74</v>
      </c>
      <c r="AY975" t="s">
        <v>74</v>
      </c>
      <c r="AZ975" t="s">
        <v>74</v>
      </c>
      <c r="BA975" t="s">
        <v>74</v>
      </c>
      <c r="BB975">
        <v>89</v>
      </c>
      <c r="BC975">
        <v>96</v>
      </c>
      <c r="BD975" t="s">
        <v>74</v>
      </c>
      <c r="BE975" t="s">
        <v>12847</v>
      </c>
      <c r="BF975" t="str">
        <f>HYPERLINK("http://dx.doi.org/10.1023/A:1003984327103","http://dx.doi.org/10.1023/A:1003984327103")</f>
        <v>http://dx.doi.org/10.1023/A:1003984327103</v>
      </c>
      <c r="BG975" t="s">
        <v>74</v>
      </c>
      <c r="BH975" t="s">
        <v>74</v>
      </c>
      <c r="BI975">
        <v>8</v>
      </c>
      <c r="BJ975" t="s">
        <v>1259</v>
      </c>
      <c r="BK975" t="s">
        <v>2763</v>
      </c>
      <c r="BL975" t="s">
        <v>1259</v>
      </c>
      <c r="BM975" t="s">
        <v>12848</v>
      </c>
      <c r="BN975" t="s">
        <v>74</v>
      </c>
      <c r="BO975" t="s">
        <v>74</v>
      </c>
      <c r="BP975" t="s">
        <v>74</v>
      </c>
      <c r="BQ975" t="s">
        <v>74</v>
      </c>
      <c r="BR975" t="s">
        <v>97</v>
      </c>
      <c r="BS975" t="s">
        <v>12849</v>
      </c>
      <c r="BT975" t="str">
        <f>HYPERLINK("https%3A%2F%2Fwww.webofscience.com%2Fwos%2Fwoscc%2Ffull-record%2FWOS:000088580000009","View Full Record in Web of Science")</f>
        <v>View Full Record in Web of Science</v>
      </c>
    </row>
    <row r="976" spans="1:72" x14ac:dyDescent="0.15">
      <c r="A976" t="s">
        <v>72</v>
      </c>
      <c r="B976" t="s">
        <v>12850</v>
      </c>
      <c r="C976" t="s">
        <v>74</v>
      </c>
      <c r="D976" t="s">
        <v>74</v>
      </c>
      <c r="E976" t="s">
        <v>74</v>
      </c>
      <c r="F976" t="s">
        <v>12850</v>
      </c>
      <c r="G976" t="s">
        <v>74</v>
      </c>
      <c r="H976" t="s">
        <v>74</v>
      </c>
      <c r="I976" t="s">
        <v>12851</v>
      </c>
      <c r="J976" t="s">
        <v>1947</v>
      </c>
      <c r="K976" t="s">
        <v>74</v>
      </c>
      <c r="L976" t="s">
        <v>74</v>
      </c>
      <c r="M976" t="s">
        <v>77</v>
      </c>
      <c r="N976" t="s">
        <v>78</v>
      </c>
      <c r="O976" t="s">
        <v>74</v>
      </c>
      <c r="P976" t="s">
        <v>74</v>
      </c>
      <c r="Q976" t="s">
        <v>74</v>
      </c>
      <c r="R976" t="s">
        <v>74</v>
      </c>
      <c r="S976" t="s">
        <v>74</v>
      </c>
      <c r="T976" t="s">
        <v>74</v>
      </c>
      <c r="U976" t="s">
        <v>12852</v>
      </c>
      <c r="V976" t="s">
        <v>12853</v>
      </c>
      <c r="W976" t="s">
        <v>12854</v>
      </c>
      <c r="X976" t="s">
        <v>1469</v>
      </c>
      <c r="Y976" t="s">
        <v>12855</v>
      </c>
      <c r="Z976" t="s">
        <v>74</v>
      </c>
      <c r="AA976" t="s">
        <v>74</v>
      </c>
      <c r="AB976" t="s">
        <v>74</v>
      </c>
      <c r="AC976" t="s">
        <v>74</v>
      </c>
      <c r="AD976" t="s">
        <v>74</v>
      </c>
      <c r="AE976" t="s">
        <v>74</v>
      </c>
      <c r="AF976" t="s">
        <v>74</v>
      </c>
      <c r="AG976">
        <v>44</v>
      </c>
      <c r="AH976">
        <v>286</v>
      </c>
      <c r="AI976">
        <v>322</v>
      </c>
      <c r="AJ976">
        <v>1</v>
      </c>
      <c r="AK976">
        <v>32</v>
      </c>
      <c r="AL976" t="s">
        <v>1842</v>
      </c>
      <c r="AM976" t="s">
        <v>1843</v>
      </c>
      <c r="AN976" t="s">
        <v>1844</v>
      </c>
      <c r="AO976" t="s">
        <v>1951</v>
      </c>
      <c r="AP976" t="s">
        <v>74</v>
      </c>
      <c r="AQ976" t="s">
        <v>74</v>
      </c>
      <c r="AR976" t="s">
        <v>1952</v>
      </c>
      <c r="AS976" t="s">
        <v>1953</v>
      </c>
      <c r="AT976" t="s">
        <v>12823</v>
      </c>
      <c r="AU976">
        <v>2000</v>
      </c>
      <c r="AV976">
        <v>13</v>
      </c>
      <c r="AW976">
        <v>10</v>
      </c>
      <c r="AX976" t="s">
        <v>74</v>
      </c>
      <c r="AY976" t="s">
        <v>74</v>
      </c>
      <c r="AZ976" t="s">
        <v>74</v>
      </c>
      <c r="BA976" t="s">
        <v>74</v>
      </c>
      <c r="BB976">
        <v>1674</v>
      </c>
      <c r="BC976">
        <v>1696</v>
      </c>
      <c r="BD976" t="s">
        <v>74</v>
      </c>
      <c r="BE976" t="s">
        <v>12856</v>
      </c>
      <c r="BF976" t="str">
        <f>HYPERLINK("http://dx.doi.org/10.1175/1520-0442(2000)013&lt;1674:VATIAS&gt;2.0.CO;2","http://dx.doi.org/10.1175/1520-0442(2000)013&lt;1674:VATIAS&gt;2.0.CO;2")</f>
        <v>http://dx.doi.org/10.1175/1520-0442(2000)013&lt;1674:VATIAS&gt;2.0.CO;2</v>
      </c>
      <c r="BG976" t="s">
        <v>74</v>
      </c>
      <c r="BH976" t="s">
        <v>74</v>
      </c>
      <c r="BI976">
        <v>23</v>
      </c>
      <c r="BJ976" t="s">
        <v>167</v>
      </c>
      <c r="BK976" t="s">
        <v>94</v>
      </c>
      <c r="BL976" t="s">
        <v>167</v>
      </c>
      <c r="BM976" t="s">
        <v>12857</v>
      </c>
      <c r="BN976" t="s">
        <v>74</v>
      </c>
      <c r="BO976" t="s">
        <v>1850</v>
      </c>
      <c r="BP976" t="s">
        <v>74</v>
      </c>
      <c r="BQ976" t="s">
        <v>74</v>
      </c>
      <c r="BR976" t="s">
        <v>97</v>
      </c>
      <c r="BS976" t="s">
        <v>12858</v>
      </c>
      <c r="BT976" t="str">
        <f>HYPERLINK("https%3A%2F%2Fwww.webofscience.com%2Fwos%2Fwoscc%2Ffull-record%2FWOS:000087350100004","View Full Record in Web of Science")</f>
        <v>View Full Record in Web of Science</v>
      </c>
    </row>
    <row r="977" spans="1:72" x14ac:dyDescent="0.15">
      <c r="A977" t="s">
        <v>72</v>
      </c>
      <c r="B977" t="s">
        <v>12859</v>
      </c>
      <c r="C977" t="s">
        <v>74</v>
      </c>
      <c r="D977" t="s">
        <v>74</v>
      </c>
      <c r="E977" t="s">
        <v>74</v>
      </c>
      <c r="F977" t="s">
        <v>12859</v>
      </c>
      <c r="G977" t="s">
        <v>74</v>
      </c>
      <c r="H977" t="s">
        <v>74</v>
      </c>
      <c r="I977" t="s">
        <v>12860</v>
      </c>
      <c r="J977" t="s">
        <v>1947</v>
      </c>
      <c r="K977" t="s">
        <v>74</v>
      </c>
      <c r="L977" t="s">
        <v>74</v>
      </c>
      <c r="M977" t="s">
        <v>77</v>
      </c>
      <c r="N977" t="s">
        <v>78</v>
      </c>
      <c r="O977" t="s">
        <v>74</v>
      </c>
      <c r="P977" t="s">
        <v>74</v>
      </c>
      <c r="Q977" t="s">
        <v>74</v>
      </c>
      <c r="R977" t="s">
        <v>74</v>
      </c>
      <c r="S977" t="s">
        <v>74</v>
      </c>
      <c r="T977" t="s">
        <v>74</v>
      </c>
      <c r="U977" t="s">
        <v>12861</v>
      </c>
      <c r="V977" t="s">
        <v>12862</v>
      </c>
      <c r="W977" t="s">
        <v>12863</v>
      </c>
      <c r="X977" t="s">
        <v>12864</v>
      </c>
      <c r="Y977" t="s">
        <v>12865</v>
      </c>
      <c r="Z977" t="s">
        <v>74</v>
      </c>
      <c r="AA977" t="s">
        <v>12866</v>
      </c>
      <c r="AB977" t="s">
        <v>12867</v>
      </c>
      <c r="AC977" t="s">
        <v>74</v>
      </c>
      <c r="AD977" t="s">
        <v>74</v>
      </c>
      <c r="AE977" t="s">
        <v>74</v>
      </c>
      <c r="AF977" t="s">
        <v>74</v>
      </c>
      <c r="AG977">
        <v>91</v>
      </c>
      <c r="AH977">
        <v>280</v>
      </c>
      <c r="AI977">
        <v>316</v>
      </c>
      <c r="AJ977">
        <v>0</v>
      </c>
      <c r="AK977">
        <v>55</v>
      </c>
      <c r="AL977" t="s">
        <v>1842</v>
      </c>
      <c r="AM977" t="s">
        <v>1843</v>
      </c>
      <c r="AN977" t="s">
        <v>1844</v>
      </c>
      <c r="AO977" t="s">
        <v>1951</v>
      </c>
      <c r="AP977" t="s">
        <v>74</v>
      </c>
      <c r="AQ977" t="s">
        <v>74</v>
      </c>
      <c r="AR977" t="s">
        <v>1952</v>
      </c>
      <c r="AS977" t="s">
        <v>1953</v>
      </c>
      <c r="AT977" t="s">
        <v>12823</v>
      </c>
      <c r="AU977">
        <v>2000</v>
      </c>
      <c r="AV977">
        <v>13</v>
      </c>
      <c r="AW977">
        <v>10</v>
      </c>
      <c r="AX977" t="s">
        <v>74</v>
      </c>
      <c r="AY977" t="s">
        <v>74</v>
      </c>
      <c r="AZ977" t="s">
        <v>74</v>
      </c>
      <c r="BA977" t="s">
        <v>74</v>
      </c>
      <c r="BB977">
        <v>1697</v>
      </c>
      <c r="BC977">
        <v>1717</v>
      </c>
      <c r="BD977" t="s">
        <v>74</v>
      </c>
      <c r="BE977" t="s">
        <v>12868</v>
      </c>
      <c r="BF977" t="str">
        <f>HYPERLINK("http://dx.doi.org/10.1175/1520-0442(2000)013&lt;1697:ASIEVA&gt;2.0.CO;2","http://dx.doi.org/10.1175/1520-0442(2000)013&lt;1697:ASIEVA&gt;2.0.CO;2")</f>
        <v>http://dx.doi.org/10.1175/1520-0442(2000)013&lt;1697:ASIEVA&gt;2.0.CO;2</v>
      </c>
      <c r="BG977" t="s">
        <v>74</v>
      </c>
      <c r="BH977" t="s">
        <v>74</v>
      </c>
      <c r="BI977">
        <v>21</v>
      </c>
      <c r="BJ977" t="s">
        <v>167</v>
      </c>
      <c r="BK977" t="s">
        <v>94</v>
      </c>
      <c r="BL977" t="s">
        <v>167</v>
      </c>
      <c r="BM977" t="s">
        <v>12857</v>
      </c>
      <c r="BN977" t="s">
        <v>74</v>
      </c>
      <c r="BO977" t="s">
        <v>1755</v>
      </c>
      <c r="BP977" t="s">
        <v>74</v>
      </c>
      <c r="BQ977" t="s">
        <v>74</v>
      </c>
      <c r="BR977" t="s">
        <v>97</v>
      </c>
      <c r="BS977" t="s">
        <v>12869</v>
      </c>
      <c r="BT977" t="str">
        <f>HYPERLINK("https%3A%2F%2Fwww.webofscience.com%2Fwos%2Fwoscc%2Ffull-record%2FWOS:000087350100005","View Full Record in Web of Science")</f>
        <v>View Full Record in Web of Science</v>
      </c>
    </row>
    <row r="978" spans="1:72" x14ac:dyDescent="0.15">
      <c r="A978" t="s">
        <v>72</v>
      </c>
      <c r="B978" t="s">
        <v>12870</v>
      </c>
      <c r="C978" t="s">
        <v>74</v>
      </c>
      <c r="D978" t="s">
        <v>74</v>
      </c>
      <c r="E978" t="s">
        <v>74</v>
      </c>
      <c r="F978" t="s">
        <v>12870</v>
      </c>
      <c r="G978" t="s">
        <v>74</v>
      </c>
      <c r="H978" t="s">
        <v>74</v>
      </c>
      <c r="I978" t="s">
        <v>12871</v>
      </c>
      <c r="J978" t="s">
        <v>4907</v>
      </c>
      <c r="K978" t="s">
        <v>74</v>
      </c>
      <c r="L978" t="s">
        <v>74</v>
      </c>
      <c r="M978" t="s">
        <v>77</v>
      </c>
      <c r="N978" t="s">
        <v>78</v>
      </c>
      <c r="O978" t="s">
        <v>74</v>
      </c>
      <c r="P978" t="s">
        <v>74</v>
      </c>
      <c r="Q978" t="s">
        <v>74</v>
      </c>
      <c r="R978" t="s">
        <v>74</v>
      </c>
      <c r="S978" t="s">
        <v>74</v>
      </c>
      <c r="T978" t="s">
        <v>74</v>
      </c>
      <c r="U978" t="s">
        <v>12872</v>
      </c>
      <c r="V978" t="s">
        <v>12873</v>
      </c>
      <c r="W978" t="s">
        <v>10973</v>
      </c>
      <c r="X978" t="s">
        <v>1365</v>
      </c>
      <c r="Y978" t="s">
        <v>12874</v>
      </c>
      <c r="Z978" t="s">
        <v>10975</v>
      </c>
      <c r="AA978" t="s">
        <v>74</v>
      </c>
      <c r="AB978" t="s">
        <v>74</v>
      </c>
      <c r="AC978" t="s">
        <v>74</v>
      </c>
      <c r="AD978" t="s">
        <v>74</v>
      </c>
      <c r="AE978" t="s">
        <v>74</v>
      </c>
      <c r="AF978" t="s">
        <v>74</v>
      </c>
      <c r="AG978">
        <v>56</v>
      </c>
      <c r="AH978">
        <v>51</v>
      </c>
      <c r="AI978">
        <v>54</v>
      </c>
      <c r="AJ978">
        <v>0</v>
      </c>
      <c r="AK978">
        <v>7</v>
      </c>
      <c r="AL978" t="s">
        <v>1059</v>
      </c>
      <c r="AM978" t="s">
        <v>1060</v>
      </c>
      <c r="AN978" t="s">
        <v>1061</v>
      </c>
      <c r="AO978" t="s">
        <v>4916</v>
      </c>
      <c r="AP978" t="s">
        <v>4917</v>
      </c>
      <c r="AQ978" t="s">
        <v>74</v>
      </c>
      <c r="AR978" t="s">
        <v>4918</v>
      </c>
      <c r="AS978" t="s">
        <v>4919</v>
      </c>
      <c r="AT978" t="s">
        <v>12823</v>
      </c>
      <c r="AU978">
        <v>2000</v>
      </c>
      <c r="AV978">
        <v>105</v>
      </c>
      <c r="AW978" t="s">
        <v>12875</v>
      </c>
      <c r="AX978" t="s">
        <v>74</v>
      </c>
      <c r="AY978" t="s">
        <v>74</v>
      </c>
      <c r="AZ978" t="s">
        <v>74</v>
      </c>
      <c r="BA978" t="s">
        <v>74</v>
      </c>
      <c r="BB978">
        <v>11223</v>
      </c>
      <c r="BC978">
        <v>11242</v>
      </c>
      <c r="BD978" t="s">
        <v>74</v>
      </c>
      <c r="BE978" t="s">
        <v>12876</v>
      </c>
      <c r="BF978" t="str">
        <f>HYPERLINK("http://dx.doi.org/10.1029/1999JC900246","http://dx.doi.org/10.1029/1999JC900246")</f>
        <v>http://dx.doi.org/10.1029/1999JC900246</v>
      </c>
      <c r="BG978" t="s">
        <v>74</v>
      </c>
      <c r="BH978" t="s">
        <v>74</v>
      </c>
      <c r="BI978">
        <v>20</v>
      </c>
      <c r="BJ978" t="s">
        <v>252</v>
      </c>
      <c r="BK978" t="s">
        <v>94</v>
      </c>
      <c r="BL978" t="s">
        <v>252</v>
      </c>
      <c r="BM978" t="s">
        <v>12877</v>
      </c>
      <c r="BN978" t="s">
        <v>74</v>
      </c>
      <c r="BO978" t="s">
        <v>1755</v>
      </c>
      <c r="BP978" t="s">
        <v>74</v>
      </c>
      <c r="BQ978" t="s">
        <v>74</v>
      </c>
      <c r="BR978" t="s">
        <v>97</v>
      </c>
      <c r="BS978" t="s">
        <v>12878</v>
      </c>
      <c r="BT978" t="str">
        <f>HYPERLINK("https%3A%2F%2Fwww.webofscience.com%2Fwos%2Fwoscc%2Ffull-record%2FWOS:000087153000001","View Full Record in Web of Science")</f>
        <v>View Full Record in Web of Science</v>
      </c>
    </row>
    <row r="979" spans="1:72" x14ac:dyDescent="0.15">
      <c r="A979" t="s">
        <v>72</v>
      </c>
      <c r="B979" t="s">
        <v>12879</v>
      </c>
      <c r="C979" t="s">
        <v>74</v>
      </c>
      <c r="D979" t="s">
        <v>74</v>
      </c>
      <c r="E979" t="s">
        <v>74</v>
      </c>
      <c r="F979" t="s">
        <v>12879</v>
      </c>
      <c r="G979" t="s">
        <v>74</v>
      </c>
      <c r="H979" t="s">
        <v>74</v>
      </c>
      <c r="I979" t="s">
        <v>12880</v>
      </c>
      <c r="J979" t="s">
        <v>4907</v>
      </c>
      <c r="K979" t="s">
        <v>74</v>
      </c>
      <c r="L979" t="s">
        <v>74</v>
      </c>
      <c r="M979" t="s">
        <v>77</v>
      </c>
      <c r="N979" t="s">
        <v>78</v>
      </c>
      <c r="O979" t="s">
        <v>74</v>
      </c>
      <c r="P979" t="s">
        <v>74</v>
      </c>
      <c r="Q979" t="s">
        <v>74</v>
      </c>
      <c r="R979" t="s">
        <v>74</v>
      </c>
      <c r="S979" t="s">
        <v>74</v>
      </c>
      <c r="T979" t="s">
        <v>74</v>
      </c>
      <c r="U979" t="s">
        <v>12881</v>
      </c>
      <c r="V979" t="s">
        <v>12882</v>
      </c>
      <c r="W979" t="s">
        <v>12883</v>
      </c>
      <c r="X979" t="s">
        <v>12884</v>
      </c>
      <c r="Y979" t="s">
        <v>12885</v>
      </c>
      <c r="Z979" t="s">
        <v>12886</v>
      </c>
      <c r="AA979" t="s">
        <v>74</v>
      </c>
      <c r="AB979" t="s">
        <v>12887</v>
      </c>
      <c r="AC979" t="s">
        <v>74</v>
      </c>
      <c r="AD979" t="s">
        <v>74</v>
      </c>
      <c r="AE979" t="s">
        <v>74</v>
      </c>
      <c r="AF979" t="s">
        <v>74</v>
      </c>
      <c r="AG979">
        <v>75</v>
      </c>
      <c r="AH979">
        <v>218</v>
      </c>
      <c r="AI979">
        <v>244</v>
      </c>
      <c r="AJ979">
        <v>1</v>
      </c>
      <c r="AK979">
        <v>47</v>
      </c>
      <c r="AL979" t="s">
        <v>1059</v>
      </c>
      <c r="AM979" t="s">
        <v>1060</v>
      </c>
      <c r="AN979" t="s">
        <v>1061</v>
      </c>
      <c r="AO979" t="s">
        <v>4916</v>
      </c>
      <c r="AP979" t="s">
        <v>4917</v>
      </c>
      <c r="AQ979" t="s">
        <v>74</v>
      </c>
      <c r="AR979" t="s">
        <v>4918</v>
      </c>
      <c r="AS979" t="s">
        <v>4919</v>
      </c>
      <c r="AT979" t="s">
        <v>12823</v>
      </c>
      <c r="AU979">
        <v>2000</v>
      </c>
      <c r="AV979">
        <v>105</v>
      </c>
      <c r="AW979" t="s">
        <v>12875</v>
      </c>
      <c r="AX979" t="s">
        <v>74</v>
      </c>
      <c r="AY979" t="s">
        <v>74</v>
      </c>
      <c r="AZ979" t="s">
        <v>74</v>
      </c>
      <c r="BA979" t="s">
        <v>74</v>
      </c>
      <c r="BB979">
        <v>11321</v>
      </c>
      <c r="BC979">
        <v>11336</v>
      </c>
      <c r="BD979" t="s">
        <v>74</v>
      </c>
      <c r="BE979" t="s">
        <v>12888</v>
      </c>
      <c r="BF979" t="str">
        <f>HYPERLINK("http://dx.doi.org/10.1029/2000JC000256","http://dx.doi.org/10.1029/2000JC000256")</f>
        <v>http://dx.doi.org/10.1029/2000JC000256</v>
      </c>
      <c r="BG979" t="s">
        <v>74</v>
      </c>
      <c r="BH979" t="s">
        <v>74</v>
      </c>
      <c r="BI979">
        <v>16</v>
      </c>
      <c r="BJ979" t="s">
        <v>252</v>
      </c>
      <c r="BK979" t="s">
        <v>94</v>
      </c>
      <c r="BL979" t="s">
        <v>252</v>
      </c>
      <c r="BM979" t="s">
        <v>12877</v>
      </c>
      <c r="BN979" t="s">
        <v>74</v>
      </c>
      <c r="BO979" t="s">
        <v>2097</v>
      </c>
      <c r="BP979" t="s">
        <v>74</v>
      </c>
      <c r="BQ979" t="s">
        <v>74</v>
      </c>
      <c r="BR979" t="s">
        <v>97</v>
      </c>
      <c r="BS979" t="s">
        <v>12889</v>
      </c>
      <c r="BT979" t="str">
        <f>HYPERLINK("https%3A%2F%2Fwww.webofscience.com%2Fwos%2Fwoscc%2Ffull-record%2FWOS:000087153000006","View Full Record in Web of Science")</f>
        <v>View Full Record in Web of Science</v>
      </c>
    </row>
    <row r="980" spans="1:72" x14ac:dyDescent="0.15">
      <c r="A980" t="s">
        <v>72</v>
      </c>
      <c r="B980" t="s">
        <v>12890</v>
      </c>
      <c r="C980" t="s">
        <v>74</v>
      </c>
      <c r="D980" t="s">
        <v>74</v>
      </c>
      <c r="E980" t="s">
        <v>74</v>
      </c>
      <c r="F980" t="s">
        <v>12890</v>
      </c>
      <c r="G980" t="s">
        <v>74</v>
      </c>
      <c r="H980" t="s">
        <v>74</v>
      </c>
      <c r="I980" t="s">
        <v>12891</v>
      </c>
      <c r="J980" t="s">
        <v>4907</v>
      </c>
      <c r="K980" t="s">
        <v>74</v>
      </c>
      <c r="L980" t="s">
        <v>74</v>
      </c>
      <c r="M980" t="s">
        <v>77</v>
      </c>
      <c r="N980" t="s">
        <v>78</v>
      </c>
      <c r="O980" t="s">
        <v>74</v>
      </c>
      <c r="P980" t="s">
        <v>74</v>
      </c>
      <c r="Q980" t="s">
        <v>74</v>
      </c>
      <c r="R980" t="s">
        <v>74</v>
      </c>
      <c r="S980" t="s">
        <v>74</v>
      </c>
      <c r="T980" t="s">
        <v>74</v>
      </c>
      <c r="U980" t="s">
        <v>12892</v>
      </c>
      <c r="V980" t="s">
        <v>12893</v>
      </c>
      <c r="W980" t="s">
        <v>12894</v>
      </c>
      <c r="X980" t="s">
        <v>12895</v>
      </c>
      <c r="Y980" t="s">
        <v>12896</v>
      </c>
      <c r="Z980" t="s">
        <v>12897</v>
      </c>
      <c r="AA980" t="s">
        <v>5788</v>
      </c>
      <c r="AB980" t="s">
        <v>5789</v>
      </c>
      <c r="AC980" t="s">
        <v>74</v>
      </c>
      <c r="AD980" t="s">
        <v>74</v>
      </c>
      <c r="AE980" t="s">
        <v>74</v>
      </c>
      <c r="AF980" t="s">
        <v>74</v>
      </c>
      <c r="AG980">
        <v>50</v>
      </c>
      <c r="AH980">
        <v>15</v>
      </c>
      <c r="AI980">
        <v>15</v>
      </c>
      <c r="AJ980">
        <v>0</v>
      </c>
      <c r="AK980">
        <v>5</v>
      </c>
      <c r="AL980" t="s">
        <v>1059</v>
      </c>
      <c r="AM980" t="s">
        <v>1060</v>
      </c>
      <c r="AN980" t="s">
        <v>1061</v>
      </c>
      <c r="AO980" t="s">
        <v>4916</v>
      </c>
      <c r="AP980" t="s">
        <v>4917</v>
      </c>
      <c r="AQ980" t="s">
        <v>74</v>
      </c>
      <c r="AR980" t="s">
        <v>4918</v>
      </c>
      <c r="AS980" t="s">
        <v>4919</v>
      </c>
      <c r="AT980" t="s">
        <v>12823</v>
      </c>
      <c r="AU980">
        <v>2000</v>
      </c>
      <c r="AV980">
        <v>105</v>
      </c>
      <c r="AW980" t="s">
        <v>12875</v>
      </c>
      <c r="AX980" t="s">
        <v>74</v>
      </c>
      <c r="AY980" t="s">
        <v>74</v>
      </c>
      <c r="AZ980" t="s">
        <v>74</v>
      </c>
      <c r="BA980" t="s">
        <v>74</v>
      </c>
      <c r="BB980">
        <v>11359</v>
      </c>
      <c r="BC980">
        <v>11371</v>
      </c>
      <c r="BD980" t="s">
        <v>74</v>
      </c>
      <c r="BE980" t="s">
        <v>12898</v>
      </c>
      <c r="BF980" t="str">
        <f>HYPERLINK("http://dx.doi.org/10.1029/2000JC000257","http://dx.doi.org/10.1029/2000JC000257")</f>
        <v>http://dx.doi.org/10.1029/2000JC000257</v>
      </c>
      <c r="BG980" t="s">
        <v>74</v>
      </c>
      <c r="BH980" t="s">
        <v>74</v>
      </c>
      <c r="BI980">
        <v>13</v>
      </c>
      <c r="BJ980" t="s">
        <v>252</v>
      </c>
      <c r="BK980" t="s">
        <v>94</v>
      </c>
      <c r="BL980" t="s">
        <v>252</v>
      </c>
      <c r="BM980" t="s">
        <v>12877</v>
      </c>
      <c r="BN980" t="s">
        <v>74</v>
      </c>
      <c r="BO980" t="s">
        <v>2097</v>
      </c>
      <c r="BP980" t="s">
        <v>74</v>
      </c>
      <c r="BQ980" t="s">
        <v>74</v>
      </c>
      <c r="BR980" t="s">
        <v>97</v>
      </c>
      <c r="BS980" t="s">
        <v>12899</v>
      </c>
      <c r="BT980" t="str">
        <f>HYPERLINK("https%3A%2F%2Fwww.webofscience.com%2Fwos%2Fwoscc%2Ffull-record%2FWOS:000087153000009","View Full Record in Web of Science")</f>
        <v>View Full Record in Web of Science</v>
      </c>
    </row>
    <row r="981" spans="1:72" x14ac:dyDescent="0.15">
      <c r="A981" t="s">
        <v>72</v>
      </c>
      <c r="B981" t="s">
        <v>12900</v>
      </c>
      <c r="C981" t="s">
        <v>74</v>
      </c>
      <c r="D981" t="s">
        <v>74</v>
      </c>
      <c r="E981" t="s">
        <v>74</v>
      </c>
      <c r="F981" t="s">
        <v>12900</v>
      </c>
      <c r="G981" t="s">
        <v>74</v>
      </c>
      <c r="H981" t="s">
        <v>74</v>
      </c>
      <c r="I981" t="s">
        <v>12901</v>
      </c>
      <c r="J981" t="s">
        <v>8308</v>
      </c>
      <c r="K981" t="s">
        <v>74</v>
      </c>
      <c r="L981" t="s">
        <v>74</v>
      </c>
      <c r="M981" t="s">
        <v>77</v>
      </c>
      <c r="N981" t="s">
        <v>5419</v>
      </c>
      <c r="O981" t="s">
        <v>74</v>
      </c>
      <c r="P981" t="s">
        <v>74</v>
      </c>
      <c r="Q981" t="s">
        <v>74</v>
      </c>
      <c r="R981" t="s">
        <v>74</v>
      </c>
      <c r="S981" t="s">
        <v>74</v>
      </c>
      <c r="T981" t="s">
        <v>74</v>
      </c>
      <c r="U981" t="s">
        <v>74</v>
      </c>
      <c r="V981" t="s">
        <v>74</v>
      </c>
      <c r="W981" t="s">
        <v>12902</v>
      </c>
      <c r="X981" t="s">
        <v>6417</v>
      </c>
      <c r="Y981" t="s">
        <v>12903</v>
      </c>
      <c r="Z981" t="s">
        <v>74</v>
      </c>
      <c r="AA981" t="s">
        <v>74</v>
      </c>
      <c r="AB981" t="s">
        <v>74</v>
      </c>
      <c r="AC981" t="s">
        <v>74</v>
      </c>
      <c r="AD981" t="s">
        <v>74</v>
      </c>
      <c r="AE981" t="s">
        <v>74</v>
      </c>
      <c r="AF981" t="s">
        <v>74</v>
      </c>
      <c r="AG981">
        <v>1</v>
      </c>
      <c r="AH981">
        <v>0</v>
      </c>
      <c r="AI981">
        <v>0</v>
      </c>
      <c r="AJ981">
        <v>0</v>
      </c>
      <c r="AK981">
        <v>0</v>
      </c>
      <c r="AL981" t="s">
        <v>8312</v>
      </c>
      <c r="AM981" t="s">
        <v>160</v>
      </c>
      <c r="AN981" t="s">
        <v>8313</v>
      </c>
      <c r="AO981" t="s">
        <v>8314</v>
      </c>
      <c r="AP981" t="s">
        <v>74</v>
      </c>
      <c r="AQ981" t="s">
        <v>74</v>
      </c>
      <c r="AR981" t="s">
        <v>8315</v>
      </c>
      <c r="AS981" t="s">
        <v>8316</v>
      </c>
      <c r="AT981" t="s">
        <v>12823</v>
      </c>
      <c r="AU981">
        <v>2000</v>
      </c>
      <c r="AV981">
        <v>125</v>
      </c>
      <c r="AW981">
        <v>9</v>
      </c>
      <c r="AX981" t="s">
        <v>74</v>
      </c>
      <c r="AY981" t="s">
        <v>74</v>
      </c>
      <c r="AZ981" t="s">
        <v>74</v>
      </c>
      <c r="BA981" t="s">
        <v>74</v>
      </c>
      <c r="BB981">
        <v>117</v>
      </c>
      <c r="BC981">
        <v>117</v>
      </c>
      <c r="BD981" t="s">
        <v>74</v>
      </c>
      <c r="BE981" t="s">
        <v>74</v>
      </c>
      <c r="BF981" t="s">
        <v>74</v>
      </c>
      <c r="BG981" t="s">
        <v>74</v>
      </c>
      <c r="BH981" t="s">
        <v>74</v>
      </c>
      <c r="BI981">
        <v>1</v>
      </c>
      <c r="BJ981" t="s">
        <v>8317</v>
      </c>
      <c r="BK981" t="s">
        <v>657</v>
      </c>
      <c r="BL981" t="s">
        <v>8317</v>
      </c>
      <c r="BM981" t="s">
        <v>12904</v>
      </c>
      <c r="BN981" t="s">
        <v>74</v>
      </c>
      <c r="BO981" t="s">
        <v>74</v>
      </c>
      <c r="BP981" t="s">
        <v>74</v>
      </c>
      <c r="BQ981" t="s">
        <v>74</v>
      </c>
      <c r="BR981" t="s">
        <v>97</v>
      </c>
      <c r="BS981" t="s">
        <v>12905</v>
      </c>
      <c r="BT981" t="str">
        <f>HYPERLINK("https%3A%2F%2Fwww.webofscience.com%2Fwos%2Fwoscc%2Ffull-record%2FWOS:000086972000203","View Full Record in Web of Science")</f>
        <v>View Full Record in Web of Science</v>
      </c>
    </row>
    <row r="982" spans="1:72" x14ac:dyDescent="0.15">
      <c r="A982" t="s">
        <v>72</v>
      </c>
      <c r="B982" t="s">
        <v>12906</v>
      </c>
      <c r="C982" t="s">
        <v>74</v>
      </c>
      <c r="D982" t="s">
        <v>74</v>
      </c>
      <c r="E982" t="s">
        <v>74</v>
      </c>
      <c r="F982" t="s">
        <v>12906</v>
      </c>
      <c r="G982" t="s">
        <v>74</v>
      </c>
      <c r="H982" t="s">
        <v>74</v>
      </c>
      <c r="I982" t="s">
        <v>12907</v>
      </c>
      <c r="J982" t="s">
        <v>4938</v>
      </c>
      <c r="K982" t="s">
        <v>74</v>
      </c>
      <c r="L982" t="s">
        <v>74</v>
      </c>
      <c r="M982" t="s">
        <v>77</v>
      </c>
      <c r="N982" t="s">
        <v>78</v>
      </c>
      <c r="O982" t="s">
        <v>74</v>
      </c>
      <c r="P982" t="s">
        <v>74</v>
      </c>
      <c r="Q982" t="s">
        <v>74</v>
      </c>
      <c r="R982" t="s">
        <v>74</v>
      </c>
      <c r="S982" t="s">
        <v>74</v>
      </c>
      <c r="T982" t="s">
        <v>12908</v>
      </c>
      <c r="U982" t="s">
        <v>12909</v>
      </c>
      <c r="V982" t="s">
        <v>12910</v>
      </c>
      <c r="W982" t="s">
        <v>12911</v>
      </c>
      <c r="X982" t="s">
        <v>12912</v>
      </c>
      <c r="Y982" t="s">
        <v>6292</v>
      </c>
      <c r="Z982" t="s">
        <v>12913</v>
      </c>
      <c r="AA982" t="s">
        <v>2312</v>
      </c>
      <c r="AB982" t="s">
        <v>12914</v>
      </c>
      <c r="AC982" t="s">
        <v>74</v>
      </c>
      <c r="AD982" t="s">
        <v>74</v>
      </c>
      <c r="AE982" t="s">
        <v>74</v>
      </c>
      <c r="AF982" t="s">
        <v>74</v>
      </c>
      <c r="AG982">
        <v>53</v>
      </c>
      <c r="AH982">
        <v>50</v>
      </c>
      <c r="AI982">
        <v>54</v>
      </c>
      <c r="AJ982">
        <v>0</v>
      </c>
      <c r="AK982">
        <v>6</v>
      </c>
      <c r="AL982" t="s">
        <v>1120</v>
      </c>
      <c r="AM982" t="s">
        <v>1121</v>
      </c>
      <c r="AN982" t="s">
        <v>2394</v>
      </c>
      <c r="AO982" t="s">
        <v>4944</v>
      </c>
      <c r="AP982" t="s">
        <v>11607</v>
      </c>
      <c r="AQ982" t="s">
        <v>74</v>
      </c>
      <c r="AR982" t="s">
        <v>4945</v>
      </c>
      <c r="AS982" t="s">
        <v>4946</v>
      </c>
      <c r="AT982" t="s">
        <v>12823</v>
      </c>
      <c r="AU982">
        <v>2000</v>
      </c>
      <c r="AV982">
        <v>166</v>
      </c>
      <c r="AW982" t="s">
        <v>4018</v>
      </c>
      <c r="AX982" t="s">
        <v>74</v>
      </c>
      <c r="AY982" t="s">
        <v>74</v>
      </c>
      <c r="AZ982" t="s">
        <v>74</v>
      </c>
      <c r="BA982" t="s">
        <v>74</v>
      </c>
      <c r="BB982">
        <v>31</v>
      </c>
      <c r="BC982">
        <v>50</v>
      </c>
      <c r="BD982" t="s">
        <v>74</v>
      </c>
      <c r="BE982" t="s">
        <v>12915</v>
      </c>
      <c r="BF982" t="str">
        <f>HYPERLINK("http://dx.doi.org/10.1016/S0025-3227(00)00006-2","http://dx.doi.org/10.1016/S0025-3227(00)00006-2")</f>
        <v>http://dx.doi.org/10.1016/S0025-3227(00)00006-2</v>
      </c>
      <c r="BG982" t="s">
        <v>74</v>
      </c>
      <c r="BH982" t="s">
        <v>74</v>
      </c>
      <c r="BI982">
        <v>20</v>
      </c>
      <c r="BJ982" t="s">
        <v>4948</v>
      </c>
      <c r="BK982" t="s">
        <v>94</v>
      </c>
      <c r="BL982" t="s">
        <v>4949</v>
      </c>
      <c r="BM982" t="s">
        <v>12916</v>
      </c>
      <c r="BN982" t="s">
        <v>74</v>
      </c>
      <c r="BO982" t="s">
        <v>74</v>
      </c>
      <c r="BP982" t="s">
        <v>74</v>
      </c>
      <c r="BQ982" t="s">
        <v>74</v>
      </c>
      <c r="BR982" t="s">
        <v>97</v>
      </c>
      <c r="BS982" t="s">
        <v>12917</v>
      </c>
      <c r="BT982" t="str">
        <f>HYPERLINK("https%3A%2F%2Fwww.webofscience.com%2Fwos%2Fwoscc%2Ffull-record%2FWOS:000087251000003","View Full Record in Web of Science")</f>
        <v>View Full Record in Web of Science</v>
      </c>
    </row>
    <row r="983" spans="1:72" x14ac:dyDescent="0.15">
      <c r="A983" t="s">
        <v>72</v>
      </c>
      <c r="B983" t="s">
        <v>12918</v>
      </c>
      <c r="C983" t="s">
        <v>74</v>
      </c>
      <c r="D983" t="s">
        <v>74</v>
      </c>
      <c r="E983" t="s">
        <v>74</v>
      </c>
      <c r="F983" t="s">
        <v>12918</v>
      </c>
      <c r="G983" t="s">
        <v>74</v>
      </c>
      <c r="H983" t="s">
        <v>74</v>
      </c>
      <c r="I983" t="s">
        <v>12919</v>
      </c>
      <c r="J983" t="s">
        <v>4954</v>
      </c>
      <c r="K983" t="s">
        <v>74</v>
      </c>
      <c r="L983" t="s">
        <v>74</v>
      </c>
      <c r="M983" t="s">
        <v>77</v>
      </c>
      <c r="N983" t="s">
        <v>78</v>
      </c>
      <c r="O983" t="s">
        <v>74</v>
      </c>
      <c r="P983" t="s">
        <v>74</v>
      </c>
      <c r="Q983" t="s">
        <v>74</v>
      </c>
      <c r="R983" t="s">
        <v>74</v>
      </c>
      <c r="S983" t="s">
        <v>74</v>
      </c>
      <c r="T983" t="s">
        <v>12920</v>
      </c>
      <c r="U983" t="s">
        <v>12921</v>
      </c>
      <c r="V983" t="s">
        <v>12922</v>
      </c>
      <c r="W983" t="s">
        <v>12923</v>
      </c>
      <c r="X983" t="s">
        <v>12924</v>
      </c>
      <c r="Y983" t="s">
        <v>12925</v>
      </c>
      <c r="Z983" t="s">
        <v>74</v>
      </c>
      <c r="AA983" t="s">
        <v>12926</v>
      </c>
      <c r="AB983" t="s">
        <v>12927</v>
      </c>
      <c r="AC983" t="s">
        <v>74</v>
      </c>
      <c r="AD983" t="s">
        <v>74</v>
      </c>
      <c r="AE983" t="s">
        <v>74</v>
      </c>
      <c r="AF983" t="s">
        <v>74</v>
      </c>
      <c r="AG983">
        <v>25</v>
      </c>
      <c r="AH983">
        <v>14</v>
      </c>
      <c r="AI983">
        <v>15</v>
      </c>
      <c r="AJ983">
        <v>0</v>
      </c>
      <c r="AK983">
        <v>9</v>
      </c>
      <c r="AL983" t="s">
        <v>1120</v>
      </c>
      <c r="AM983" t="s">
        <v>1121</v>
      </c>
      <c r="AN983" t="s">
        <v>2394</v>
      </c>
      <c r="AO983" t="s">
        <v>4960</v>
      </c>
      <c r="AP983" t="s">
        <v>74</v>
      </c>
      <c r="AQ983" t="s">
        <v>74</v>
      </c>
      <c r="AR983" t="s">
        <v>4954</v>
      </c>
      <c r="AS983" t="s">
        <v>4961</v>
      </c>
      <c r="AT983" t="s">
        <v>12823</v>
      </c>
      <c r="AU983">
        <v>2000</v>
      </c>
      <c r="AV983">
        <v>320</v>
      </c>
      <c r="AW983">
        <v>2</v>
      </c>
      <c r="AX983" t="s">
        <v>74</v>
      </c>
      <c r="AY983" t="s">
        <v>74</v>
      </c>
      <c r="AZ983" t="s">
        <v>74</v>
      </c>
      <c r="BA983" t="s">
        <v>74</v>
      </c>
      <c r="BB983">
        <v>123</v>
      </c>
      <c r="BC983">
        <v>139</v>
      </c>
      <c r="BD983" t="s">
        <v>74</v>
      </c>
      <c r="BE983" t="s">
        <v>12928</v>
      </c>
      <c r="BF983" t="str">
        <f>HYPERLINK("http://dx.doi.org/10.1016/S0040-1951(00)00051-2","http://dx.doi.org/10.1016/S0040-1951(00)00051-2")</f>
        <v>http://dx.doi.org/10.1016/S0040-1951(00)00051-2</v>
      </c>
      <c r="BG983" t="s">
        <v>74</v>
      </c>
      <c r="BH983" t="s">
        <v>74</v>
      </c>
      <c r="BI983">
        <v>17</v>
      </c>
      <c r="BJ983" t="s">
        <v>953</v>
      </c>
      <c r="BK983" t="s">
        <v>94</v>
      </c>
      <c r="BL983" t="s">
        <v>953</v>
      </c>
      <c r="BM983" t="s">
        <v>12929</v>
      </c>
      <c r="BN983" t="s">
        <v>74</v>
      </c>
      <c r="BO983" t="s">
        <v>74</v>
      </c>
      <c r="BP983" t="s">
        <v>74</v>
      </c>
      <c r="BQ983" t="s">
        <v>74</v>
      </c>
      <c r="BR983" t="s">
        <v>97</v>
      </c>
      <c r="BS983" t="s">
        <v>12930</v>
      </c>
      <c r="BT983" t="str">
        <f>HYPERLINK("https%3A%2F%2Fwww.webofscience.com%2Fwos%2Fwoscc%2Ffull-record%2FWOS:000087273800003","View Full Record in Web of Science")</f>
        <v>View Full Record in Web of Science</v>
      </c>
    </row>
    <row r="984" spans="1:72" x14ac:dyDescent="0.15">
      <c r="A984" t="s">
        <v>72</v>
      </c>
      <c r="B984" t="s">
        <v>12931</v>
      </c>
      <c r="C984" t="s">
        <v>74</v>
      </c>
      <c r="D984" t="s">
        <v>74</v>
      </c>
      <c r="E984" t="s">
        <v>74</v>
      </c>
      <c r="F984" t="s">
        <v>12931</v>
      </c>
      <c r="G984" t="s">
        <v>74</v>
      </c>
      <c r="H984" t="s">
        <v>74</v>
      </c>
      <c r="I984" t="s">
        <v>12932</v>
      </c>
      <c r="J984" t="s">
        <v>7354</v>
      </c>
      <c r="K984" t="s">
        <v>74</v>
      </c>
      <c r="L984" t="s">
        <v>74</v>
      </c>
      <c r="M984" t="s">
        <v>77</v>
      </c>
      <c r="N984" t="s">
        <v>5419</v>
      </c>
      <c r="O984" t="s">
        <v>74</v>
      </c>
      <c r="P984" t="s">
        <v>74</v>
      </c>
      <c r="Q984" t="s">
        <v>74</v>
      </c>
      <c r="R984" t="s">
        <v>74</v>
      </c>
      <c r="S984" t="s">
        <v>74</v>
      </c>
      <c r="T984" t="s">
        <v>74</v>
      </c>
      <c r="U984" t="s">
        <v>74</v>
      </c>
      <c r="V984" t="s">
        <v>74</v>
      </c>
      <c r="W984" t="s">
        <v>3869</v>
      </c>
      <c r="X984" t="s">
        <v>667</v>
      </c>
      <c r="Y984" t="s">
        <v>12933</v>
      </c>
      <c r="Z984" t="s">
        <v>74</v>
      </c>
      <c r="AA984" t="s">
        <v>74</v>
      </c>
      <c r="AB984" t="s">
        <v>74</v>
      </c>
      <c r="AC984" t="s">
        <v>74</v>
      </c>
      <c r="AD984" t="s">
        <v>74</v>
      </c>
      <c r="AE984" t="s">
        <v>74</v>
      </c>
      <c r="AF984" t="s">
        <v>74</v>
      </c>
      <c r="AG984">
        <v>1</v>
      </c>
      <c r="AH984">
        <v>0</v>
      </c>
      <c r="AI984">
        <v>0</v>
      </c>
      <c r="AJ984">
        <v>0</v>
      </c>
      <c r="AK984">
        <v>4</v>
      </c>
      <c r="AL984" t="s">
        <v>12934</v>
      </c>
      <c r="AM984" t="s">
        <v>1208</v>
      </c>
      <c r="AN984" t="s">
        <v>7363</v>
      </c>
      <c r="AO984" t="s">
        <v>7364</v>
      </c>
      <c r="AP984" t="s">
        <v>74</v>
      </c>
      <c r="AQ984" t="s">
        <v>74</v>
      </c>
      <c r="AR984" t="s">
        <v>7354</v>
      </c>
      <c r="AS984" t="s">
        <v>7365</v>
      </c>
      <c r="AT984" t="s">
        <v>12935</v>
      </c>
      <c r="AU984">
        <v>2000</v>
      </c>
      <c r="AV984">
        <v>405</v>
      </c>
      <c r="AW984">
        <v>6783</v>
      </c>
      <c r="AX984" t="s">
        <v>74</v>
      </c>
      <c r="AY984" t="s">
        <v>74</v>
      </c>
      <c r="AZ984" t="s">
        <v>74</v>
      </c>
      <c r="BA984" t="s">
        <v>74</v>
      </c>
      <c r="BB984">
        <v>124</v>
      </c>
      <c r="BC984">
        <v>124</v>
      </c>
      <c r="BD984" t="s">
        <v>74</v>
      </c>
      <c r="BE984" t="s">
        <v>12936</v>
      </c>
      <c r="BF984" t="str">
        <f>HYPERLINK("http://dx.doi.org/10.1038/35012124","http://dx.doi.org/10.1038/35012124")</f>
        <v>http://dx.doi.org/10.1038/35012124</v>
      </c>
      <c r="BG984" t="s">
        <v>74</v>
      </c>
      <c r="BH984" t="s">
        <v>74</v>
      </c>
      <c r="BI984">
        <v>1</v>
      </c>
      <c r="BJ984" t="s">
        <v>93</v>
      </c>
      <c r="BK984" t="s">
        <v>94</v>
      </c>
      <c r="BL984" t="s">
        <v>95</v>
      </c>
      <c r="BM984" t="s">
        <v>12937</v>
      </c>
      <c r="BN984" t="s">
        <v>74</v>
      </c>
      <c r="BO984" t="s">
        <v>1755</v>
      </c>
      <c r="BP984" t="s">
        <v>74</v>
      </c>
      <c r="BQ984" t="s">
        <v>74</v>
      </c>
      <c r="BR984" t="s">
        <v>97</v>
      </c>
      <c r="BS984" t="s">
        <v>12938</v>
      </c>
      <c r="BT984" t="str">
        <f>HYPERLINK("https%3A%2F%2Fwww.webofscience.com%2Fwos%2Fwoscc%2Ffull-record%2FWOS:000087080100025","View Full Record in Web of Science")</f>
        <v>View Full Record in Web of Science</v>
      </c>
    </row>
    <row r="985" spans="1:72" x14ac:dyDescent="0.15">
      <c r="A985" t="s">
        <v>72</v>
      </c>
      <c r="B985" t="s">
        <v>12939</v>
      </c>
      <c r="C985" t="s">
        <v>74</v>
      </c>
      <c r="D985" t="s">
        <v>74</v>
      </c>
      <c r="E985" t="s">
        <v>74</v>
      </c>
      <c r="F985" t="s">
        <v>12939</v>
      </c>
      <c r="G985" t="s">
        <v>74</v>
      </c>
      <c r="H985" t="s">
        <v>74</v>
      </c>
      <c r="I985" t="s">
        <v>12940</v>
      </c>
      <c r="J985" t="s">
        <v>4967</v>
      </c>
      <c r="K985" t="s">
        <v>74</v>
      </c>
      <c r="L985" t="s">
        <v>74</v>
      </c>
      <c r="M985" t="s">
        <v>77</v>
      </c>
      <c r="N985" t="s">
        <v>78</v>
      </c>
      <c r="O985" t="s">
        <v>74</v>
      </c>
      <c r="P985" t="s">
        <v>74</v>
      </c>
      <c r="Q985" t="s">
        <v>74</v>
      </c>
      <c r="R985" t="s">
        <v>74</v>
      </c>
      <c r="S985" t="s">
        <v>74</v>
      </c>
      <c r="T985" t="s">
        <v>74</v>
      </c>
      <c r="U985" t="s">
        <v>12941</v>
      </c>
      <c r="V985" t="s">
        <v>12942</v>
      </c>
      <c r="W985" t="s">
        <v>12943</v>
      </c>
      <c r="X985" t="s">
        <v>12944</v>
      </c>
      <c r="Y985" t="s">
        <v>12945</v>
      </c>
      <c r="Z985" t="s">
        <v>12946</v>
      </c>
      <c r="AA985" t="s">
        <v>12947</v>
      </c>
      <c r="AB985" t="s">
        <v>12948</v>
      </c>
      <c r="AC985" t="s">
        <v>74</v>
      </c>
      <c r="AD985" t="s">
        <v>74</v>
      </c>
      <c r="AE985" t="s">
        <v>74</v>
      </c>
      <c r="AF985" t="s">
        <v>74</v>
      </c>
      <c r="AG985">
        <v>29</v>
      </c>
      <c r="AH985">
        <v>7</v>
      </c>
      <c r="AI985">
        <v>7</v>
      </c>
      <c r="AJ985">
        <v>0</v>
      </c>
      <c r="AK985">
        <v>4</v>
      </c>
      <c r="AL985" t="s">
        <v>1059</v>
      </c>
      <c r="AM985" t="s">
        <v>1060</v>
      </c>
      <c r="AN985" t="s">
        <v>1061</v>
      </c>
      <c r="AO985" t="s">
        <v>4973</v>
      </c>
      <c r="AP985" t="s">
        <v>4974</v>
      </c>
      <c r="AQ985" t="s">
        <v>74</v>
      </c>
      <c r="AR985" t="s">
        <v>4975</v>
      </c>
      <c r="AS985" t="s">
        <v>4976</v>
      </c>
      <c r="AT985" t="s">
        <v>12949</v>
      </c>
      <c r="AU985">
        <v>2000</v>
      </c>
      <c r="AV985">
        <v>105</v>
      </c>
      <c r="AW985" t="s">
        <v>12950</v>
      </c>
      <c r="AX985" t="s">
        <v>74</v>
      </c>
      <c r="AY985" t="s">
        <v>74</v>
      </c>
      <c r="AZ985" t="s">
        <v>74</v>
      </c>
      <c r="BA985" t="s">
        <v>74</v>
      </c>
      <c r="BB985">
        <v>11185</v>
      </c>
      <c r="BC985">
        <v>11202</v>
      </c>
      <c r="BD985" t="s">
        <v>74</v>
      </c>
      <c r="BE985" t="s">
        <v>12951</v>
      </c>
      <c r="BF985" t="str">
        <f>HYPERLINK("http://dx.doi.org/10.1029/1999JB900434","http://dx.doi.org/10.1029/1999JB900434")</f>
        <v>http://dx.doi.org/10.1029/1999JB900434</v>
      </c>
      <c r="BG985" t="s">
        <v>74</v>
      </c>
      <c r="BH985" t="s">
        <v>74</v>
      </c>
      <c r="BI985">
        <v>18</v>
      </c>
      <c r="BJ985" t="s">
        <v>953</v>
      </c>
      <c r="BK985" t="s">
        <v>94</v>
      </c>
      <c r="BL985" t="s">
        <v>953</v>
      </c>
      <c r="BM985" t="s">
        <v>12952</v>
      </c>
      <c r="BN985" t="s">
        <v>74</v>
      </c>
      <c r="BO985" t="s">
        <v>8840</v>
      </c>
      <c r="BP985" t="s">
        <v>74</v>
      </c>
      <c r="BQ985" t="s">
        <v>74</v>
      </c>
      <c r="BR985" t="s">
        <v>97</v>
      </c>
      <c r="BS985" t="s">
        <v>12953</v>
      </c>
      <c r="BT985" t="str">
        <f>HYPERLINK("https%3A%2F%2Fwww.webofscience.com%2Fwos%2Fwoscc%2Ffull-record%2FWOS:000087027400025","View Full Record in Web of Science")</f>
        <v>View Full Record in Web of Science</v>
      </c>
    </row>
    <row r="986" spans="1:72" x14ac:dyDescent="0.15">
      <c r="A986" t="s">
        <v>72</v>
      </c>
      <c r="B986" t="s">
        <v>12954</v>
      </c>
      <c r="C986" t="s">
        <v>74</v>
      </c>
      <c r="D986" t="s">
        <v>74</v>
      </c>
      <c r="E986" t="s">
        <v>74</v>
      </c>
      <c r="F986" t="s">
        <v>12954</v>
      </c>
      <c r="G986" t="s">
        <v>74</v>
      </c>
      <c r="H986" t="s">
        <v>74</v>
      </c>
      <c r="I986" t="s">
        <v>12955</v>
      </c>
      <c r="J986" t="s">
        <v>4824</v>
      </c>
      <c r="K986" t="s">
        <v>74</v>
      </c>
      <c r="L986" t="s">
        <v>74</v>
      </c>
      <c r="M986" t="s">
        <v>77</v>
      </c>
      <c r="N986" t="s">
        <v>78</v>
      </c>
      <c r="O986" t="s">
        <v>74</v>
      </c>
      <c r="P986" t="s">
        <v>74</v>
      </c>
      <c r="Q986" t="s">
        <v>74</v>
      </c>
      <c r="R986" t="s">
        <v>74</v>
      </c>
      <c r="S986" t="s">
        <v>74</v>
      </c>
      <c r="T986" t="s">
        <v>74</v>
      </c>
      <c r="U986" t="s">
        <v>12956</v>
      </c>
      <c r="V986" t="s">
        <v>12957</v>
      </c>
      <c r="W986" t="s">
        <v>7415</v>
      </c>
      <c r="X986" t="s">
        <v>7416</v>
      </c>
      <c r="Y986" t="s">
        <v>12958</v>
      </c>
      <c r="Z986" t="s">
        <v>74</v>
      </c>
      <c r="AA986" t="s">
        <v>74</v>
      </c>
      <c r="AB986" t="s">
        <v>12959</v>
      </c>
      <c r="AC986" t="s">
        <v>74</v>
      </c>
      <c r="AD986" t="s">
        <v>74</v>
      </c>
      <c r="AE986" t="s">
        <v>74</v>
      </c>
      <c r="AF986" t="s">
        <v>74</v>
      </c>
      <c r="AG986">
        <v>86</v>
      </c>
      <c r="AH986">
        <v>27</v>
      </c>
      <c r="AI986">
        <v>27</v>
      </c>
      <c r="AJ986">
        <v>0</v>
      </c>
      <c r="AK986">
        <v>10</v>
      </c>
      <c r="AL986" t="s">
        <v>4832</v>
      </c>
      <c r="AM986" t="s">
        <v>1060</v>
      </c>
      <c r="AN986" t="s">
        <v>4833</v>
      </c>
      <c r="AO986" t="s">
        <v>4834</v>
      </c>
      <c r="AP986" t="s">
        <v>74</v>
      </c>
      <c r="AQ986" t="s">
        <v>74</v>
      </c>
      <c r="AR986" t="s">
        <v>4835</v>
      </c>
      <c r="AS986" t="s">
        <v>4836</v>
      </c>
      <c r="AT986" t="s">
        <v>12960</v>
      </c>
      <c r="AU986">
        <v>2000</v>
      </c>
      <c r="AV986">
        <v>104</v>
      </c>
      <c r="AW986">
        <v>17</v>
      </c>
      <c r="AX986" t="s">
        <v>74</v>
      </c>
      <c r="AY986" t="s">
        <v>74</v>
      </c>
      <c r="AZ986" t="s">
        <v>74</v>
      </c>
      <c r="BA986" t="s">
        <v>74</v>
      </c>
      <c r="BB986">
        <v>4030</v>
      </c>
      <c r="BC986">
        <v>4044</v>
      </c>
      <c r="BD986" t="s">
        <v>74</v>
      </c>
      <c r="BE986" t="s">
        <v>12961</v>
      </c>
      <c r="BF986" t="str">
        <f>HYPERLINK("http://dx.doi.org/10.1021/jp9932261","http://dx.doi.org/10.1021/jp9932261")</f>
        <v>http://dx.doi.org/10.1021/jp9932261</v>
      </c>
      <c r="BG986" t="s">
        <v>74</v>
      </c>
      <c r="BH986" t="s">
        <v>74</v>
      </c>
      <c r="BI986">
        <v>15</v>
      </c>
      <c r="BJ986" t="s">
        <v>4839</v>
      </c>
      <c r="BK986" t="s">
        <v>94</v>
      </c>
      <c r="BL986" t="s">
        <v>4840</v>
      </c>
      <c r="BM986" t="s">
        <v>12962</v>
      </c>
      <c r="BN986" t="s">
        <v>74</v>
      </c>
      <c r="BO986" t="s">
        <v>74</v>
      </c>
      <c r="BP986" t="s">
        <v>74</v>
      </c>
      <c r="BQ986" t="s">
        <v>74</v>
      </c>
      <c r="BR986" t="s">
        <v>97</v>
      </c>
      <c r="BS986" t="s">
        <v>12963</v>
      </c>
      <c r="BT986" t="str">
        <f>HYPERLINK("https%3A%2F%2Fwww.webofscience.com%2Fwos%2Fwoscc%2Ffull-record%2FWOS:000086872800024","View Full Record in Web of Science")</f>
        <v>View Full Record in Web of Science</v>
      </c>
    </row>
    <row r="987" spans="1:72" x14ac:dyDescent="0.15">
      <c r="A987" t="s">
        <v>72</v>
      </c>
      <c r="B987" t="s">
        <v>12964</v>
      </c>
      <c r="C987" t="s">
        <v>74</v>
      </c>
      <c r="D987" t="s">
        <v>74</v>
      </c>
      <c r="E987" t="s">
        <v>74</v>
      </c>
      <c r="F987" t="s">
        <v>12964</v>
      </c>
      <c r="G987" t="s">
        <v>74</v>
      </c>
      <c r="H987" t="s">
        <v>74</v>
      </c>
      <c r="I987" t="s">
        <v>12965</v>
      </c>
      <c r="J987" t="s">
        <v>7354</v>
      </c>
      <c r="K987" t="s">
        <v>74</v>
      </c>
      <c r="L987" t="s">
        <v>74</v>
      </c>
      <c r="M987" t="s">
        <v>77</v>
      </c>
      <c r="N987" t="s">
        <v>78</v>
      </c>
      <c r="O987" t="s">
        <v>74</v>
      </c>
      <c r="P987" t="s">
        <v>74</v>
      </c>
      <c r="Q987" t="s">
        <v>74</v>
      </c>
      <c r="R987" t="s">
        <v>74</v>
      </c>
      <c r="S987" t="s">
        <v>74</v>
      </c>
      <c r="T987" t="s">
        <v>74</v>
      </c>
      <c r="U987" t="s">
        <v>12966</v>
      </c>
      <c r="V987" t="s">
        <v>12967</v>
      </c>
      <c r="W987" t="s">
        <v>12968</v>
      </c>
      <c r="X987" t="s">
        <v>12969</v>
      </c>
      <c r="Y987" t="s">
        <v>12970</v>
      </c>
      <c r="Z987" t="s">
        <v>74</v>
      </c>
      <c r="AA987" t="s">
        <v>12971</v>
      </c>
      <c r="AB987" t="s">
        <v>12972</v>
      </c>
      <c r="AC987" t="s">
        <v>74</v>
      </c>
      <c r="AD987" t="s">
        <v>74</v>
      </c>
      <c r="AE987" t="s">
        <v>74</v>
      </c>
      <c r="AF987" t="s">
        <v>74</v>
      </c>
      <c r="AG987">
        <v>40</v>
      </c>
      <c r="AH987">
        <v>268</v>
      </c>
      <c r="AI987">
        <v>304</v>
      </c>
      <c r="AJ987">
        <v>0</v>
      </c>
      <c r="AK987">
        <v>44</v>
      </c>
      <c r="AL987" t="s">
        <v>12934</v>
      </c>
      <c r="AM987" t="s">
        <v>1208</v>
      </c>
      <c r="AN987" t="s">
        <v>7363</v>
      </c>
      <c r="AO987" t="s">
        <v>7364</v>
      </c>
      <c r="AP987" t="s">
        <v>74</v>
      </c>
      <c r="AQ987" t="s">
        <v>74</v>
      </c>
      <c r="AR987" t="s">
        <v>7354</v>
      </c>
      <c r="AS987" t="s">
        <v>7365</v>
      </c>
      <c r="AT987" t="s">
        <v>12960</v>
      </c>
      <c r="AU987">
        <v>2000</v>
      </c>
      <c r="AV987">
        <v>405</v>
      </c>
      <c r="AW987">
        <v>6782</v>
      </c>
      <c r="AX987" t="s">
        <v>74</v>
      </c>
      <c r="AY987" t="s">
        <v>74</v>
      </c>
      <c r="AZ987" t="s">
        <v>74</v>
      </c>
      <c r="BA987" t="s">
        <v>74</v>
      </c>
      <c r="BB987">
        <v>43</v>
      </c>
      <c r="BC987">
        <v>47</v>
      </c>
      <c r="BD987" t="s">
        <v>74</v>
      </c>
      <c r="BE987" t="s">
        <v>12973</v>
      </c>
      <c r="BF987" t="str">
        <f>HYPERLINK("http://dx.doi.org/10.1038/35011002","http://dx.doi.org/10.1038/35011002")</f>
        <v>http://dx.doi.org/10.1038/35011002</v>
      </c>
      <c r="BG987" t="s">
        <v>74</v>
      </c>
      <c r="BH987" t="s">
        <v>74</v>
      </c>
      <c r="BI987">
        <v>5</v>
      </c>
      <c r="BJ987" t="s">
        <v>93</v>
      </c>
      <c r="BK987" t="s">
        <v>94</v>
      </c>
      <c r="BL987" t="s">
        <v>95</v>
      </c>
      <c r="BM987" t="s">
        <v>12974</v>
      </c>
      <c r="BN987">
        <v>10811211</v>
      </c>
      <c r="BO987" t="s">
        <v>74</v>
      </c>
      <c r="BP987" t="s">
        <v>74</v>
      </c>
      <c r="BQ987" t="s">
        <v>74</v>
      </c>
      <c r="BR987" t="s">
        <v>97</v>
      </c>
      <c r="BS987" t="s">
        <v>12975</v>
      </c>
      <c r="BT987" t="str">
        <f>HYPERLINK("https%3A%2F%2Fwww.webofscience.com%2Fwos%2Fwoscc%2Ffull-record%2FWOS:000086901600044","View Full Record in Web of Science")</f>
        <v>View Full Record in Web of Science</v>
      </c>
    </row>
    <row r="988" spans="1:72" x14ac:dyDescent="0.15">
      <c r="A988" t="s">
        <v>72</v>
      </c>
      <c r="B988" t="s">
        <v>12976</v>
      </c>
      <c r="C988" t="s">
        <v>74</v>
      </c>
      <c r="D988" t="s">
        <v>74</v>
      </c>
      <c r="E988" t="s">
        <v>74</v>
      </c>
      <c r="F988" t="s">
        <v>12976</v>
      </c>
      <c r="G988" t="s">
        <v>74</v>
      </c>
      <c r="H988" t="s">
        <v>74</v>
      </c>
      <c r="I988" t="s">
        <v>12977</v>
      </c>
      <c r="J988" t="s">
        <v>12978</v>
      </c>
      <c r="K988" t="s">
        <v>74</v>
      </c>
      <c r="L988" t="s">
        <v>74</v>
      </c>
      <c r="M988" t="s">
        <v>77</v>
      </c>
      <c r="N988" t="s">
        <v>78</v>
      </c>
      <c r="O988" t="s">
        <v>74</v>
      </c>
      <c r="P988" t="s">
        <v>74</v>
      </c>
      <c r="Q988" t="s">
        <v>74</v>
      </c>
      <c r="R988" t="s">
        <v>74</v>
      </c>
      <c r="S988" t="s">
        <v>74</v>
      </c>
      <c r="T988" t="s">
        <v>12979</v>
      </c>
      <c r="U988" t="s">
        <v>12980</v>
      </c>
      <c r="V988" t="s">
        <v>12981</v>
      </c>
      <c r="W988" t="s">
        <v>12982</v>
      </c>
      <c r="X988" t="s">
        <v>12983</v>
      </c>
      <c r="Y988" t="s">
        <v>12984</v>
      </c>
      <c r="Z988" t="s">
        <v>12985</v>
      </c>
      <c r="AA988" t="s">
        <v>74</v>
      </c>
      <c r="AB988" t="s">
        <v>74</v>
      </c>
      <c r="AC988" t="s">
        <v>74</v>
      </c>
      <c r="AD988" t="s">
        <v>74</v>
      </c>
      <c r="AE988" t="s">
        <v>74</v>
      </c>
      <c r="AF988" t="s">
        <v>74</v>
      </c>
      <c r="AG988">
        <v>22</v>
      </c>
      <c r="AH988">
        <v>8</v>
      </c>
      <c r="AI988">
        <v>8</v>
      </c>
      <c r="AJ988">
        <v>1</v>
      </c>
      <c r="AK988">
        <v>1</v>
      </c>
      <c r="AL988" t="s">
        <v>906</v>
      </c>
      <c r="AM988" t="s">
        <v>160</v>
      </c>
      <c r="AN988" t="s">
        <v>890</v>
      </c>
      <c r="AO988" t="s">
        <v>12986</v>
      </c>
      <c r="AP988" t="s">
        <v>12987</v>
      </c>
      <c r="AQ988" t="s">
        <v>74</v>
      </c>
      <c r="AR988" t="s">
        <v>12988</v>
      </c>
      <c r="AS988" t="s">
        <v>12989</v>
      </c>
      <c r="AT988" t="s">
        <v>12990</v>
      </c>
      <c r="AU988">
        <v>2000</v>
      </c>
      <c r="AV988">
        <v>5</v>
      </c>
      <c r="AW988">
        <v>5</v>
      </c>
      <c r="AX988" t="s">
        <v>74</v>
      </c>
      <c r="AY988" t="s">
        <v>74</v>
      </c>
      <c r="AZ988" t="s">
        <v>74</v>
      </c>
      <c r="BA988" t="s">
        <v>74</v>
      </c>
      <c r="BB988">
        <v>198</v>
      </c>
      <c r="BC988">
        <v>204</v>
      </c>
      <c r="BD988" t="s">
        <v>74</v>
      </c>
      <c r="BE988" t="s">
        <v>12991</v>
      </c>
      <c r="BF988" t="str">
        <f>HYPERLINK("http://dx.doi.org/10.1007/s007690050443","http://dx.doi.org/10.1007/s007690050443")</f>
        <v>http://dx.doi.org/10.1007/s007690050443</v>
      </c>
      <c r="BG988" t="s">
        <v>74</v>
      </c>
      <c r="BH988" t="s">
        <v>74</v>
      </c>
      <c r="BI988">
        <v>7</v>
      </c>
      <c r="BJ988" t="s">
        <v>12992</v>
      </c>
      <c r="BK988" t="s">
        <v>94</v>
      </c>
      <c r="BL988" t="s">
        <v>12993</v>
      </c>
      <c r="BM988" t="s">
        <v>12994</v>
      </c>
      <c r="BN988" t="s">
        <v>74</v>
      </c>
      <c r="BO988" t="s">
        <v>74</v>
      </c>
      <c r="BP988" t="s">
        <v>74</v>
      </c>
      <c r="BQ988" t="s">
        <v>74</v>
      </c>
      <c r="BR988" t="s">
        <v>97</v>
      </c>
      <c r="BS988" t="s">
        <v>12995</v>
      </c>
      <c r="BT988" t="str">
        <f>HYPERLINK("https%3A%2F%2Fwww.webofscience.com%2Fwos%2Fwoscc%2Ffull-record%2FWOS:000087384100006","View Full Record in Web of Science")</f>
        <v>View Full Record in Web of Science</v>
      </c>
    </row>
    <row r="989" spans="1:72" x14ac:dyDescent="0.15">
      <c r="A989" t="s">
        <v>72</v>
      </c>
      <c r="B989" t="s">
        <v>12996</v>
      </c>
      <c r="C989" t="s">
        <v>74</v>
      </c>
      <c r="D989" t="s">
        <v>74</v>
      </c>
      <c r="E989" t="s">
        <v>74</v>
      </c>
      <c r="F989" t="s">
        <v>12996</v>
      </c>
      <c r="G989" t="s">
        <v>74</v>
      </c>
      <c r="H989" t="s">
        <v>74</v>
      </c>
      <c r="I989" t="s">
        <v>12997</v>
      </c>
      <c r="J989" t="s">
        <v>12998</v>
      </c>
      <c r="K989" t="s">
        <v>74</v>
      </c>
      <c r="L989" t="s">
        <v>74</v>
      </c>
      <c r="M989" t="s">
        <v>77</v>
      </c>
      <c r="N989" t="s">
        <v>78</v>
      </c>
      <c r="O989" t="s">
        <v>74</v>
      </c>
      <c r="P989" t="s">
        <v>74</v>
      </c>
      <c r="Q989" t="s">
        <v>74</v>
      </c>
      <c r="R989" t="s">
        <v>74</v>
      </c>
      <c r="S989" t="s">
        <v>74</v>
      </c>
      <c r="T989" t="s">
        <v>74</v>
      </c>
      <c r="U989" t="s">
        <v>12999</v>
      </c>
      <c r="V989" t="s">
        <v>13000</v>
      </c>
      <c r="W989" t="s">
        <v>13001</v>
      </c>
      <c r="X989" t="s">
        <v>13002</v>
      </c>
      <c r="Y989" t="s">
        <v>13003</v>
      </c>
      <c r="Z989" t="s">
        <v>74</v>
      </c>
      <c r="AA989" t="s">
        <v>13004</v>
      </c>
      <c r="AB989" t="s">
        <v>13005</v>
      </c>
      <c r="AC989" t="s">
        <v>74</v>
      </c>
      <c r="AD989" t="s">
        <v>74</v>
      </c>
      <c r="AE989" t="s">
        <v>74</v>
      </c>
      <c r="AF989" t="s">
        <v>74</v>
      </c>
      <c r="AG989">
        <v>48</v>
      </c>
      <c r="AH989">
        <v>15</v>
      </c>
      <c r="AI989">
        <v>15</v>
      </c>
      <c r="AJ989">
        <v>0</v>
      </c>
      <c r="AK989">
        <v>6</v>
      </c>
      <c r="AL989" t="s">
        <v>11179</v>
      </c>
      <c r="AM989" t="s">
        <v>1567</v>
      </c>
      <c r="AN989" t="s">
        <v>11180</v>
      </c>
      <c r="AO989" t="s">
        <v>13006</v>
      </c>
      <c r="AP989" t="s">
        <v>74</v>
      </c>
      <c r="AQ989" t="s">
        <v>74</v>
      </c>
      <c r="AR989" t="s">
        <v>13007</v>
      </c>
      <c r="AS989" t="s">
        <v>13008</v>
      </c>
      <c r="AT989" t="s">
        <v>12990</v>
      </c>
      <c r="AU989">
        <v>2000</v>
      </c>
      <c r="AV989">
        <v>32</v>
      </c>
      <c r="AW989">
        <v>5</v>
      </c>
      <c r="AX989" t="s">
        <v>74</v>
      </c>
      <c r="AY989" t="s">
        <v>74</v>
      </c>
      <c r="AZ989" t="s">
        <v>74</v>
      </c>
      <c r="BA989" t="s">
        <v>74</v>
      </c>
      <c r="BB989">
        <v>404</v>
      </c>
      <c r="BC989">
        <v>420</v>
      </c>
      <c r="BD989" t="s">
        <v>74</v>
      </c>
      <c r="BE989" t="s">
        <v>13009</v>
      </c>
      <c r="BF989" t="str">
        <f>HYPERLINK("http://dx.doi.org/10.1080/027868200303542","http://dx.doi.org/10.1080/027868200303542")</f>
        <v>http://dx.doi.org/10.1080/027868200303542</v>
      </c>
      <c r="BG989" t="s">
        <v>74</v>
      </c>
      <c r="BH989" t="s">
        <v>74</v>
      </c>
      <c r="BI989">
        <v>17</v>
      </c>
      <c r="BJ989" t="s">
        <v>13010</v>
      </c>
      <c r="BK989" t="s">
        <v>94</v>
      </c>
      <c r="BL989" t="s">
        <v>13011</v>
      </c>
      <c r="BM989" t="s">
        <v>13012</v>
      </c>
      <c r="BN989" t="s">
        <v>74</v>
      </c>
      <c r="BO989" t="s">
        <v>1755</v>
      </c>
      <c r="BP989" t="s">
        <v>74</v>
      </c>
      <c r="BQ989" t="s">
        <v>74</v>
      </c>
      <c r="BR989" t="s">
        <v>97</v>
      </c>
      <c r="BS989" t="s">
        <v>13013</v>
      </c>
      <c r="BT989" t="str">
        <f>HYPERLINK("https%3A%2F%2Fwww.webofscience.com%2Fwos%2Fwoscc%2Ffull-record%2FWOS:000086672300002","View Full Record in Web of Science")</f>
        <v>View Full Record in Web of Science</v>
      </c>
    </row>
    <row r="990" spans="1:72" x14ac:dyDescent="0.15">
      <c r="A990" t="s">
        <v>72</v>
      </c>
      <c r="B990" t="s">
        <v>13014</v>
      </c>
      <c r="C990" t="s">
        <v>74</v>
      </c>
      <c r="D990" t="s">
        <v>74</v>
      </c>
      <c r="E990" t="s">
        <v>74</v>
      </c>
      <c r="F990" t="s">
        <v>13014</v>
      </c>
      <c r="G990" t="s">
        <v>74</v>
      </c>
      <c r="H990" t="s">
        <v>74</v>
      </c>
      <c r="I990" t="s">
        <v>13015</v>
      </c>
      <c r="J990" t="s">
        <v>13016</v>
      </c>
      <c r="K990" t="s">
        <v>74</v>
      </c>
      <c r="L990" t="s">
        <v>74</v>
      </c>
      <c r="M990" t="s">
        <v>77</v>
      </c>
      <c r="N990" t="s">
        <v>78</v>
      </c>
      <c r="O990" t="s">
        <v>74</v>
      </c>
      <c r="P990" t="s">
        <v>74</v>
      </c>
      <c r="Q990" t="s">
        <v>74</v>
      </c>
      <c r="R990" t="s">
        <v>74</v>
      </c>
      <c r="S990" t="s">
        <v>74</v>
      </c>
      <c r="T990" t="s">
        <v>13017</v>
      </c>
      <c r="U990" t="s">
        <v>13018</v>
      </c>
      <c r="V990" t="s">
        <v>13019</v>
      </c>
      <c r="W990" t="s">
        <v>11340</v>
      </c>
      <c r="X990" t="s">
        <v>11341</v>
      </c>
      <c r="Y990" t="s">
        <v>13020</v>
      </c>
      <c r="Z990" t="s">
        <v>13021</v>
      </c>
      <c r="AA990" t="s">
        <v>11344</v>
      </c>
      <c r="AB990" t="s">
        <v>11345</v>
      </c>
      <c r="AC990" t="s">
        <v>74</v>
      </c>
      <c r="AD990" t="s">
        <v>74</v>
      </c>
      <c r="AE990" t="s">
        <v>74</v>
      </c>
      <c r="AF990" t="s">
        <v>74</v>
      </c>
      <c r="AG990">
        <v>45</v>
      </c>
      <c r="AH990">
        <v>121</v>
      </c>
      <c r="AI990">
        <v>141</v>
      </c>
      <c r="AJ990">
        <v>2</v>
      </c>
      <c r="AK990">
        <v>36</v>
      </c>
      <c r="AL990" t="s">
        <v>813</v>
      </c>
      <c r="AM990" t="s">
        <v>814</v>
      </c>
      <c r="AN990" t="s">
        <v>815</v>
      </c>
      <c r="AO990" t="s">
        <v>13022</v>
      </c>
      <c r="AP990" t="s">
        <v>13023</v>
      </c>
      <c r="AQ990" t="s">
        <v>74</v>
      </c>
      <c r="AR990" t="s">
        <v>13024</v>
      </c>
      <c r="AS990" t="s">
        <v>13025</v>
      </c>
      <c r="AT990" t="s">
        <v>12990</v>
      </c>
      <c r="AU990">
        <v>2000</v>
      </c>
      <c r="AV990">
        <v>87</v>
      </c>
      <c r="AW990">
        <v>5</v>
      </c>
      <c r="AX990" t="s">
        <v>74</v>
      </c>
      <c r="AY990" t="s">
        <v>74</v>
      </c>
      <c r="AZ990" t="s">
        <v>74</v>
      </c>
      <c r="BA990" t="s">
        <v>74</v>
      </c>
      <c r="BB990">
        <v>700</v>
      </c>
      <c r="BC990">
        <v>710</v>
      </c>
      <c r="BD990" t="s">
        <v>74</v>
      </c>
      <c r="BE990" t="s">
        <v>13026</v>
      </c>
      <c r="BF990" t="str">
        <f>HYPERLINK("http://dx.doi.org/10.2307/2656856","http://dx.doi.org/10.2307/2656856")</f>
        <v>http://dx.doi.org/10.2307/2656856</v>
      </c>
      <c r="BG990" t="s">
        <v>74</v>
      </c>
      <c r="BH990" t="s">
        <v>74</v>
      </c>
      <c r="BI990">
        <v>11</v>
      </c>
      <c r="BJ990" t="s">
        <v>3818</v>
      </c>
      <c r="BK990" t="s">
        <v>94</v>
      </c>
      <c r="BL990" t="s">
        <v>3818</v>
      </c>
      <c r="BM990" t="s">
        <v>13027</v>
      </c>
      <c r="BN990">
        <v>10811794</v>
      </c>
      <c r="BO990" t="s">
        <v>74</v>
      </c>
      <c r="BP990" t="s">
        <v>74</v>
      </c>
      <c r="BQ990" t="s">
        <v>74</v>
      </c>
      <c r="BR990" t="s">
        <v>97</v>
      </c>
      <c r="BS990" t="s">
        <v>13028</v>
      </c>
      <c r="BT990" t="str">
        <f>HYPERLINK("https%3A%2F%2Fwww.webofscience.com%2Fwos%2Fwoscc%2Ffull-record%2FWOS:000087120700011","View Full Record in Web of Science")</f>
        <v>View Full Record in Web of Science</v>
      </c>
    </row>
    <row r="991" spans="1:72" x14ac:dyDescent="0.15">
      <c r="A991" t="s">
        <v>72</v>
      </c>
      <c r="B991" t="s">
        <v>13029</v>
      </c>
      <c r="C991" t="s">
        <v>74</v>
      </c>
      <c r="D991" t="s">
        <v>74</v>
      </c>
      <c r="E991" t="s">
        <v>74</v>
      </c>
      <c r="F991" t="s">
        <v>13029</v>
      </c>
      <c r="G991" t="s">
        <v>74</v>
      </c>
      <c r="H991" t="s">
        <v>74</v>
      </c>
      <c r="I991" t="s">
        <v>13030</v>
      </c>
      <c r="J991" t="s">
        <v>6382</v>
      </c>
      <c r="K991" t="s">
        <v>74</v>
      </c>
      <c r="L991" t="s">
        <v>74</v>
      </c>
      <c r="M991" t="s">
        <v>77</v>
      </c>
      <c r="N991" t="s">
        <v>78</v>
      </c>
      <c r="O991" t="s">
        <v>74</v>
      </c>
      <c r="P991" t="s">
        <v>74</v>
      </c>
      <c r="Q991" t="s">
        <v>74</v>
      </c>
      <c r="R991" t="s">
        <v>74</v>
      </c>
      <c r="S991" t="s">
        <v>74</v>
      </c>
      <c r="T991" t="s">
        <v>13031</v>
      </c>
      <c r="U991" t="s">
        <v>13032</v>
      </c>
      <c r="V991" t="s">
        <v>13033</v>
      </c>
      <c r="W991" t="s">
        <v>833</v>
      </c>
      <c r="X991" t="s">
        <v>221</v>
      </c>
      <c r="Y991" t="s">
        <v>13034</v>
      </c>
      <c r="Z991" t="s">
        <v>74</v>
      </c>
      <c r="AA991" t="s">
        <v>74</v>
      </c>
      <c r="AB991" t="s">
        <v>74</v>
      </c>
      <c r="AC991" t="s">
        <v>74</v>
      </c>
      <c r="AD991" t="s">
        <v>74</v>
      </c>
      <c r="AE991" t="s">
        <v>74</v>
      </c>
      <c r="AF991" t="s">
        <v>74</v>
      </c>
      <c r="AG991">
        <v>23</v>
      </c>
      <c r="AH991">
        <v>16</v>
      </c>
      <c r="AI991">
        <v>16</v>
      </c>
      <c r="AJ991">
        <v>0</v>
      </c>
      <c r="AK991">
        <v>0</v>
      </c>
      <c r="AL991" t="s">
        <v>10006</v>
      </c>
      <c r="AM991" t="s">
        <v>160</v>
      </c>
      <c r="AN991" t="s">
        <v>161</v>
      </c>
      <c r="AO991" t="s">
        <v>6392</v>
      </c>
      <c r="AP991" t="s">
        <v>74</v>
      </c>
      <c r="AQ991" t="s">
        <v>74</v>
      </c>
      <c r="AR991" t="s">
        <v>6393</v>
      </c>
      <c r="AS991" t="s">
        <v>6394</v>
      </c>
      <c r="AT991" t="s">
        <v>12990</v>
      </c>
      <c r="AU991">
        <v>2000</v>
      </c>
      <c r="AV991">
        <v>18</v>
      </c>
      <c r="AW991">
        <v>5</v>
      </c>
      <c r="AX991" t="s">
        <v>74</v>
      </c>
      <c r="AY991" t="s">
        <v>74</v>
      </c>
      <c r="AZ991" t="s">
        <v>74</v>
      </c>
      <c r="BA991" t="s">
        <v>74</v>
      </c>
      <c r="BB991">
        <v>511</v>
      </c>
      <c r="BC991">
        <v>516</v>
      </c>
      <c r="BD991" t="s">
        <v>74</v>
      </c>
      <c r="BE991" t="s">
        <v>13035</v>
      </c>
      <c r="BF991" t="str">
        <f>HYPERLINK("http://dx.doi.org/10.1007/s00585-000-0511-2","http://dx.doi.org/10.1007/s00585-000-0511-2")</f>
        <v>http://dx.doi.org/10.1007/s00585-000-0511-2</v>
      </c>
      <c r="BG991" t="s">
        <v>74</v>
      </c>
      <c r="BH991" t="s">
        <v>74</v>
      </c>
      <c r="BI991">
        <v>6</v>
      </c>
      <c r="BJ991" t="s">
        <v>6397</v>
      </c>
      <c r="BK991" t="s">
        <v>94</v>
      </c>
      <c r="BL991" t="s">
        <v>6398</v>
      </c>
      <c r="BM991" t="s">
        <v>13036</v>
      </c>
      <c r="BN991" t="s">
        <v>74</v>
      </c>
      <c r="BO991" t="s">
        <v>13037</v>
      </c>
      <c r="BP991" t="s">
        <v>74</v>
      </c>
      <c r="BQ991" t="s">
        <v>74</v>
      </c>
      <c r="BR991" t="s">
        <v>97</v>
      </c>
      <c r="BS991" t="s">
        <v>13038</v>
      </c>
      <c r="BT991" t="str">
        <f>HYPERLINK("https%3A%2F%2Fwww.webofscience.com%2Fwos%2Fwoscc%2Ffull-record%2FWOS:000087884000001","View Full Record in Web of Science")</f>
        <v>View Full Record in Web of Science</v>
      </c>
    </row>
    <row r="992" spans="1:72" x14ac:dyDescent="0.15">
      <c r="A992" t="s">
        <v>72</v>
      </c>
      <c r="B992" t="s">
        <v>13039</v>
      </c>
      <c r="C992" t="s">
        <v>74</v>
      </c>
      <c r="D992" t="s">
        <v>74</v>
      </c>
      <c r="E992" t="s">
        <v>74</v>
      </c>
      <c r="F992" t="s">
        <v>13039</v>
      </c>
      <c r="G992" t="s">
        <v>74</v>
      </c>
      <c r="H992" t="s">
        <v>74</v>
      </c>
      <c r="I992" t="s">
        <v>13040</v>
      </c>
      <c r="J992" t="s">
        <v>9632</v>
      </c>
      <c r="K992" t="s">
        <v>74</v>
      </c>
      <c r="L992" t="s">
        <v>74</v>
      </c>
      <c r="M992" t="s">
        <v>77</v>
      </c>
      <c r="N992" t="s">
        <v>78</v>
      </c>
      <c r="O992" t="s">
        <v>74</v>
      </c>
      <c r="P992" t="s">
        <v>74</v>
      </c>
      <c r="Q992" t="s">
        <v>74</v>
      </c>
      <c r="R992" t="s">
        <v>74</v>
      </c>
      <c r="S992" t="s">
        <v>74</v>
      </c>
      <c r="T992" t="s">
        <v>74</v>
      </c>
      <c r="U992" t="s">
        <v>13041</v>
      </c>
      <c r="V992" t="s">
        <v>13042</v>
      </c>
      <c r="W992" t="s">
        <v>13043</v>
      </c>
      <c r="X992" t="s">
        <v>13044</v>
      </c>
      <c r="Y992" t="s">
        <v>13045</v>
      </c>
      <c r="Z992" t="s">
        <v>74</v>
      </c>
      <c r="AA992" t="s">
        <v>13046</v>
      </c>
      <c r="AB992" t="s">
        <v>13047</v>
      </c>
      <c r="AC992" t="s">
        <v>74</v>
      </c>
      <c r="AD992" t="s">
        <v>74</v>
      </c>
      <c r="AE992" t="s">
        <v>74</v>
      </c>
      <c r="AF992" t="s">
        <v>74</v>
      </c>
      <c r="AG992">
        <v>50</v>
      </c>
      <c r="AH992">
        <v>281</v>
      </c>
      <c r="AI992">
        <v>317</v>
      </c>
      <c r="AJ992">
        <v>0</v>
      </c>
      <c r="AK992">
        <v>34</v>
      </c>
      <c r="AL992" t="s">
        <v>9640</v>
      </c>
      <c r="AM992" t="s">
        <v>1060</v>
      </c>
      <c r="AN992" t="s">
        <v>9641</v>
      </c>
      <c r="AO992" t="s">
        <v>9642</v>
      </c>
      <c r="AP992" t="s">
        <v>74</v>
      </c>
      <c r="AQ992" t="s">
        <v>74</v>
      </c>
      <c r="AR992" t="s">
        <v>9643</v>
      </c>
      <c r="AS992" t="s">
        <v>9644</v>
      </c>
      <c r="AT992" t="s">
        <v>12990</v>
      </c>
      <c r="AU992">
        <v>2000</v>
      </c>
      <c r="AV992">
        <v>66</v>
      </c>
      <c r="AW992">
        <v>5</v>
      </c>
      <c r="AX992" t="s">
        <v>74</v>
      </c>
      <c r="AY992" t="s">
        <v>74</v>
      </c>
      <c r="AZ992" t="s">
        <v>74</v>
      </c>
      <c r="BA992" t="s">
        <v>74</v>
      </c>
      <c r="BB992">
        <v>1777</v>
      </c>
      <c r="BC992">
        <v>1787</v>
      </c>
      <c r="BD992" t="s">
        <v>74</v>
      </c>
      <c r="BE992" t="s">
        <v>13048</v>
      </c>
      <c r="BF992" t="str">
        <f>HYPERLINK("http://dx.doi.org/10.1128/AEM.66.5.1777-1787.2000","http://dx.doi.org/10.1128/AEM.66.5.1777-1787.2000")</f>
        <v>http://dx.doi.org/10.1128/AEM.66.5.1777-1787.2000</v>
      </c>
      <c r="BG992" t="s">
        <v>74</v>
      </c>
      <c r="BH992" t="s">
        <v>74</v>
      </c>
      <c r="BI992">
        <v>11</v>
      </c>
      <c r="BJ992" t="s">
        <v>3384</v>
      </c>
      <c r="BK992" t="s">
        <v>94</v>
      </c>
      <c r="BL992" t="s">
        <v>3384</v>
      </c>
      <c r="BM992" t="s">
        <v>13049</v>
      </c>
      <c r="BN992">
        <v>10788339</v>
      </c>
      <c r="BO992" t="s">
        <v>1337</v>
      </c>
      <c r="BP992" t="s">
        <v>74</v>
      </c>
      <c r="BQ992" t="s">
        <v>74</v>
      </c>
      <c r="BR992" t="s">
        <v>97</v>
      </c>
      <c r="BS992" t="s">
        <v>13050</v>
      </c>
      <c r="BT992" t="str">
        <f>HYPERLINK("https%3A%2F%2Fwww.webofscience.com%2Fwos%2Fwoscc%2Ffull-record%2FWOS:000086805500002","View Full Record in Web of Science")</f>
        <v>View Full Record in Web of Science</v>
      </c>
    </row>
    <row r="993" spans="1:72" x14ac:dyDescent="0.15">
      <c r="A993" t="s">
        <v>72</v>
      </c>
      <c r="B993" t="s">
        <v>13051</v>
      </c>
      <c r="C993" t="s">
        <v>74</v>
      </c>
      <c r="D993" t="s">
        <v>74</v>
      </c>
      <c r="E993" t="s">
        <v>74</v>
      </c>
      <c r="F993" t="s">
        <v>13051</v>
      </c>
      <c r="G993" t="s">
        <v>74</v>
      </c>
      <c r="H993" t="s">
        <v>74</v>
      </c>
      <c r="I993" t="s">
        <v>13052</v>
      </c>
      <c r="J993" t="s">
        <v>13053</v>
      </c>
      <c r="K993" t="s">
        <v>74</v>
      </c>
      <c r="L993" t="s">
        <v>74</v>
      </c>
      <c r="M993" t="s">
        <v>77</v>
      </c>
      <c r="N993" t="s">
        <v>78</v>
      </c>
      <c r="O993" t="s">
        <v>74</v>
      </c>
      <c r="P993" t="s">
        <v>74</v>
      </c>
      <c r="Q993" t="s">
        <v>74</v>
      </c>
      <c r="R993" t="s">
        <v>74</v>
      </c>
      <c r="S993" t="s">
        <v>74</v>
      </c>
      <c r="T993" t="s">
        <v>13054</v>
      </c>
      <c r="U993" t="s">
        <v>13055</v>
      </c>
      <c r="V993" t="s">
        <v>13056</v>
      </c>
      <c r="W993" t="s">
        <v>13057</v>
      </c>
      <c r="X993" t="s">
        <v>13058</v>
      </c>
      <c r="Y993" t="s">
        <v>13059</v>
      </c>
      <c r="Z993" t="s">
        <v>74</v>
      </c>
      <c r="AA993" t="s">
        <v>13060</v>
      </c>
      <c r="AB993" t="s">
        <v>13061</v>
      </c>
      <c r="AC993" t="s">
        <v>74</v>
      </c>
      <c r="AD993" t="s">
        <v>74</v>
      </c>
      <c r="AE993" t="s">
        <v>74</v>
      </c>
      <c r="AF993" t="s">
        <v>74</v>
      </c>
      <c r="AG993">
        <v>54</v>
      </c>
      <c r="AH993">
        <v>73</v>
      </c>
      <c r="AI993">
        <v>83</v>
      </c>
      <c r="AJ993">
        <v>1</v>
      </c>
      <c r="AK993">
        <v>11</v>
      </c>
      <c r="AL993" t="s">
        <v>1120</v>
      </c>
      <c r="AM993" t="s">
        <v>1121</v>
      </c>
      <c r="AN993" t="s">
        <v>2394</v>
      </c>
      <c r="AO993" t="s">
        <v>13062</v>
      </c>
      <c r="AP993" t="s">
        <v>74</v>
      </c>
      <c r="AQ993" t="s">
        <v>74</v>
      </c>
      <c r="AR993" t="s">
        <v>13063</v>
      </c>
      <c r="AS993" t="s">
        <v>13064</v>
      </c>
      <c r="AT993" t="s">
        <v>12990</v>
      </c>
      <c r="AU993">
        <v>2000</v>
      </c>
      <c r="AV993">
        <v>49</v>
      </c>
      <c r="AW993" t="s">
        <v>870</v>
      </c>
      <c r="AX993" t="s">
        <v>74</v>
      </c>
      <c r="AY993" t="s">
        <v>74</v>
      </c>
      <c r="AZ993" t="s">
        <v>74</v>
      </c>
      <c r="BA993" t="s">
        <v>74</v>
      </c>
      <c r="BB993">
        <v>13</v>
      </c>
      <c r="BC993">
        <v>25</v>
      </c>
      <c r="BD993" t="s">
        <v>74</v>
      </c>
      <c r="BE993" t="s">
        <v>13065</v>
      </c>
      <c r="BF993" t="str">
        <f>HYPERLINK("http://dx.doi.org/10.1016/S0166-445X(99)00070-3","http://dx.doi.org/10.1016/S0166-445X(99)00070-3")</f>
        <v>http://dx.doi.org/10.1016/S0166-445X(99)00070-3</v>
      </c>
      <c r="BG993" t="s">
        <v>74</v>
      </c>
      <c r="BH993" t="s">
        <v>74</v>
      </c>
      <c r="BI993">
        <v>13</v>
      </c>
      <c r="BJ993" t="s">
        <v>13066</v>
      </c>
      <c r="BK993" t="s">
        <v>94</v>
      </c>
      <c r="BL993" t="s">
        <v>13066</v>
      </c>
      <c r="BM993" t="s">
        <v>13067</v>
      </c>
      <c r="BN993">
        <v>10814803</v>
      </c>
      <c r="BO993" t="s">
        <v>74</v>
      </c>
      <c r="BP993" t="s">
        <v>74</v>
      </c>
      <c r="BQ993" t="s">
        <v>74</v>
      </c>
      <c r="BR993" t="s">
        <v>97</v>
      </c>
      <c r="BS993" t="s">
        <v>13068</v>
      </c>
      <c r="BT993" t="str">
        <f>HYPERLINK("https%3A%2F%2Fwww.webofscience.com%2Fwos%2Fwoscc%2Ffull-record%2FWOS:000087273100002","View Full Record in Web of Science")</f>
        <v>View Full Record in Web of Science</v>
      </c>
    </row>
    <row r="994" spans="1:72" x14ac:dyDescent="0.15">
      <c r="A994" t="s">
        <v>72</v>
      </c>
      <c r="B994" t="s">
        <v>13069</v>
      </c>
      <c r="C994" t="s">
        <v>74</v>
      </c>
      <c r="D994" t="s">
        <v>74</v>
      </c>
      <c r="E994" t="s">
        <v>74</v>
      </c>
      <c r="F994" t="s">
        <v>13069</v>
      </c>
      <c r="G994" t="s">
        <v>74</v>
      </c>
      <c r="H994" t="s">
        <v>74</v>
      </c>
      <c r="I994" t="s">
        <v>13070</v>
      </c>
      <c r="J994" t="s">
        <v>13053</v>
      </c>
      <c r="K994" t="s">
        <v>74</v>
      </c>
      <c r="L994" t="s">
        <v>74</v>
      </c>
      <c r="M994" t="s">
        <v>77</v>
      </c>
      <c r="N994" t="s">
        <v>78</v>
      </c>
      <c r="O994" t="s">
        <v>74</v>
      </c>
      <c r="P994" t="s">
        <v>74</v>
      </c>
      <c r="Q994" t="s">
        <v>74</v>
      </c>
      <c r="R994" t="s">
        <v>74</v>
      </c>
      <c r="S994" t="s">
        <v>74</v>
      </c>
      <c r="T994" t="s">
        <v>13071</v>
      </c>
      <c r="U994" t="s">
        <v>13072</v>
      </c>
      <c r="V994" t="s">
        <v>13073</v>
      </c>
      <c r="W994" t="s">
        <v>13074</v>
      </c>
      <c r="X994" t="s">
        <v>13075</v>
      </c>
      <c r="Y994" t="s">
        <v>13076</v>
      </c>
      <c r="Z994" t="s">
        <v>13077</v>
      </c>
      <c r="AA994" t="s">
        <v>13078</v>
      </c>
      <c r="AB994" t="s">
        <v>13079</v>
      </c>
      <c r="AC994" t="s">
        <v>74</v>
      </c>
      <c r="AD994" t="s">
        <v>74</v>
      </c>
      <c r="AE994" t="s">
        <v>74</v>
      </c>
      <c r="AF994" t="s">
        <v>74</v>
      </c>
      <c r="AG994">
        <v>45</v>
      </c>
      <c r="AH994">
        <v>54</v>
      </c>
      <c r="AI994">
        <v>63</v>
      </c>
      <c r="AJ994">
        <v>3</v>
      </c>
      <c r="AK994">
        <v>29</v>
      </c>
      <c r="AL994" t="s">
        <v>1120</v>
      </c>
      <c r="AM994" t="s">
        <v>1121</v>
      </c>
      <c r="AN994" t="s">
        <v>2394</v>
      </c>
      <c r="AO994" t="s">
        <v>13062</v>
      </c>
      <c r="AP994" t="s">
        <v>74</v>
      </c>
      <c r="AQ994" t="s">
        <v>74</v>
      </c>
      <c r="AR994" t="s">
        <v>13063</v>
      </c>
      <c r="AS994" t="s">
        <v>13064</v>
      </c>
      <c r="AT994" t="s">
        <v>12990</v>
      </c>
      <c r="AU994">
        <v>2000</v>
      </c>
      <c r="AV994">
        <v>49</v>
      </c>
      <c r="AW994" t="s">
        <v>870</v>
      </c>
      <c r="AX994" t="s">
        <v>74</v>
      </c>
      <c r="AY994" t="s">
        <v>74</v>
      </c>
      <c r="AZ994" t="s">
        <v>74</v>
      </c>
      <c r="BA994" t="s">
        <v>74</v>
      </c>
      <c r="BB994">
        <v>131</v>
      </c>
      <c r="BC994">
        <v>143</v>
      </c>
      <c r="BD994" t="s">
        <v>74</v>
      </c>
      <c r="BE994" t="s">
        <v>13080</v>
      </c>
      <c r="BF994" t="str">
        <f>HYPERLINK("http://dx.doi.org/10.1016/S0166-445X(99)00067-3","http://dx.doi.org/10.1016/S0166-445X(99)00067-3")</f>
        <v>http://dx.doi.org/10.1016/S0166-445X(99)00067-3</v>
      </c>
      <c r="BG994" t="s">
        <v>74</v>
      </c>
      <c r="BH994" t="s">
        <v>74</v>
      </c>
      <c r="BI994">
        <v>13</v>
      </c>
      <c r="BJ994" t="s">
        <v>13066</v>
      </c>
      <c r="BK994" t="s">
        <v>94</v>
      </c>
      <c r="BL994" t="s">
        <v>13066</v>
      </c>
      <c r="BM994" t="s">
        <v>13067</v>
      </c>
      <c r="BN994">
        <v>10814812</v>
      </c>
      <c r="BO994" t="s">
        <v>74</v>
      </c>
      <c r="BP994" t="s">
        <v>74</v>
      </c>
      <c r="BQ994" t="s">
        <v>74</v>
      </c>
      <c r="BR994" t="s">
        <v>97</v>
      </c>
      <c r="BS994" t="s">
        <v>13081</v>
      </c>
      <c r="BT994" t="str">
        <f>HYPERLINK("https%3A%2F%2Fwww.webofscience.com%2Fwos%2Fwoscc%2Ffull-record%2FWOS:000087273100011","View Full Record in Web of Science")</f>
        <v>View Full Record in Web of Science</v>
      </c>
    </row>
    <row r="995" spans="1:72" x14ac:dyDescent="0.15">
      <c r="A995" t="s">
        <v>72</v>
      </c>
      <c r="B995" t="s">
        <v>13082</v>
      </c>
      <c r="C995" t="s">
        <v>74</v>
      </c>
      <c r="D995" t="s">
        <v>74</v>
      </c>
      <c r="E995" t="s">
        <v>74</v>
      </c>
      <c r="F995" t="s">
        <v>13082</v>
      </c>
      <c r="G995" t="s">
        <v>74</v>
      </c>
      <c r="H995" t="s">
        <v>74</v>
      </c>
      <c r="I995" t="s">
        <v>13083</v>
      </c>
      <c r="J995" t="s">
        <v>13084</v>
      </c>
      <c r="K995" t="s">
        <v>74</v>
      </c>
      <c r="L995" t="s">
        <v>74</v>
      </c>
      <c r="M995" t="s">
        <v>77</v>
      </c>
      <c r="N995" t="s">
        <v>78</v>
      </c>
      <c r="O995" t="s">
        <v>74</v>
      </c>
      <c r="P995" t="s">
        <v>74</v>
      </c>
      <c r="Q995" t="s">
        <v>74</v>
      </c>
      <c r="R995" t="s">
        <v>74</v>
      </c>
      <c r="S995" t="s">
        <v>74</v>
      </c>
      <c r="T995" t="s">
        <v>13085</v>
      </c>
      <c r="U995" t="s">
        <v>13086</v>
      </c>
      <c r="V995" t="s">
        <v>13087</v>
      </c>
      <c r="W995" t="s">
        <v>13088</v>
      </c>
      <c r="X995" t="s">
        <v>13089</v>
      </c>
      <c r="Y995" t="s">
        <v>13090</v>
      </c>
      <c r="Z995" t="s">
        <v>74</v>
      </c>
      <c r="AA995" t="s">
        <v>13091</v>
      </c>
      <c r="AB995" t="s">
        <v>13092</v>
      </c>
      <c r="AC995" t="s">
        <v>74</v>
      </c>
      <c r="AD995" t="s">
        <v>74</v>
      </c>
      <c r="AE995" t="s">
        <v>74</v>
      </c>
      <c r="AF995" t="s">
        <v>74</v>
      </c>
      <c r="AG995">
        <v>41</v>
      </c>
      <c r="AH995">
        <v>90</v>
      </c>
      <c r="AI995">
        <v>108</v>
      </c>
      <c r="AJ995">
        <v>4</v>
      </c>
      <c r="AK995">
        <v>27</v>
      </c>
      <c r="AL995" t="s">
        <v>10006</v>
      </c>
      <c r="AM995" t="s">
        <v>160</v>
      </c>
      <c r="AN995" t="s">
        <v>161</v>
      </c>
      <c r="AO995" t="s">
        <v>13093</v>
      </c>
      <c r="AP995" t="s">
        <v>74</v>
      </c>
      <c r="AQ995" t="s">
        <v>74</v>
      </c>
      <c r="AR995" t="s">
        <v>13094</v>
      </c>
      <c r="AS995" t="s">
        <v>13095</v>
      </c>
      <c r="AT995" t="s">
        <v>13096</v>
      </c>
      <c r="AU995">
        <v>2000</v>
      </c>
      <c r="AV995">
        <v>173</v>
      </c>
      <c r="AW995" t="s">
        <v>3269</v>
      </c>
      <c r="AX995" t="s">
        <v>74</v>
      </c>
      <c r="AY995" t="s">
        <v>74</v>
      </c>
      <c r="AZ995" t="s">
        <v>74</v>
      </c>
      <c r="BA995" t="s">
        <v>74</v>
      </c>
      <c r="BB995">
        <v>418</v>
      </c>
      <c r="BC995">
        <v>424</v>
      </c>
      <c r="BD995" t="s">
        <v>74</v>
      </c>
      <c r="BE995" t="s">
        <v>13097</v>
      </c>
      <c r="BF995" t="str">
        <f>HYPERLINK("http://dx.doi.org/10.1007/s002030000163","http://dx.doi.org/10.1007/s002030000163")</f>
        <v>http://dx.doi.org/10.1007/s002030000163</v>
      </c>
      <c r="BG995" t="s">
        <v>74</v>
      </c>
      <c r="BH995" t="s">
        <v>74</v>
      </c>
      <c r="BI995">
        <v>7</v>
      </c>
      <c r="BJ995" t="s">
        <v>725</v>
      </c>
      <c r="BK995" t="s">
        <v>94</v>
      </c>
      <c r="BL995" t="s">
        <v>725</v>
      </c>
      <c r="BM995" t="s">
        <v>13098</v>
      </c>
      <c r="BN995">
        <v>10896223</v>
      </c>
      <c r="BO995" t="s">
        <v>74</v>
      </c>
      <c r="BP995" t="s">
        <v>74</v>
      </c>
      <c r="BQ995" t="s">
        <v>74</v>
      </c>
      <c r="BR995" t="s">
        <v>97</v>
      </c>
      <c r="BS995" t="s">
        <v>13099</v>
      </c>
      <c r="BT995" t="str">
        <f>HYPERLINK("https%3A%2F%2Fwww.webofscience.com%2Fwos%2Fwoscc%2Ffull-record%2FWOS:000087874200015","View Full Record in Web of Science")</f>
        <v>View Full Record in Web of Science</v>
      </c>
    </row>
    <row r="996" spans="1:72" x14ac:dyDescent="0.15">
      <c r="A996" t="s">
        <v>72</v>
      </c>
      <c r="B996" t="s">
        <v>13100</v>
      </c>
      <c r="C996" t="s">
        <v>74</v>
      </c>
      <c r="D996" t="s">
        <v>74</v>
      </c>
      <c r="E996" t="s">
        <v>74</v>
      </c>
      <c r="F996" t="s">
        <v>13100</v>
      </c>
      <c r="G996" t="s">
        <v>74</v>
      </c>
      <c r="H996" t="s">
        <v>74</v>
      </c>
      <c r="I996" t="s">
        <v>13101</v>
      </c>
      <c r="J996" t="s">
        <v>13084</v>
      </c>
      <c r="K996" t="s">
        <v>74</v>
      </c>
      <c r="L996" t="s">
        <v>74</v>
      </c>
      <c r="M996" t="s">
        <v>77</v>
      </c>
      <c r="N996" t="s">
        <v>6591</v>
      </c>
      <c r="O996" t="s">
        <v>74</v>
      </c>
      <c r="P996" t="s">
        <v>74</v>
      </c>
      <c r="Q996" t="s">
        <v>74</v>
      </c>
      <c r="R996" t="s">
        <v>74</v>
      </c>
      <c r="S996" t="s">
        <v>74</v>
      </c>
      <c r="T996" t="s">
        <v>74</v>
      </c>
      <c r="U996" t="s">
        <v>74</v>
      </c>
      <c r="V996" t="s">
        <v>74</v>
      </c>
      <c r="W996" t="s">
        <v>13102</v>
      </c>
      <c r="X996" t="s">
        <v>13103</v>
      </c>
      <c r="Y996" t="s">
        <v>13104</v>
      </c>
      <c r="Z996" t="s">
        <v>74</v>
      </c>
      <c r="AA996" t="s">
        <v>74</v>
      </c>
      <c r="AB996" t="s">
        <v>13105</v>
      </c>
      <c r="AC996" t="s">
        <v>74</v>
      </c>
      <c r="AD996" t="s">
        <v>74</v>
      </c>
      <c r="AE996" t="s">
        <v>74</v>
      </c>
      <c r="AF996" t="s">
        <v>74</v>
      </c>
      <c r="AG996">
        <v>1</v>
      </c>
      <c r="AH996">
        <v>1</v>
      </c>
      <c r="AI996">
        <v>1</v>
      </c>
      <c r="AJ996">
        <v>1</v>
      </c>
      <c r="AK996">
        <v>11</v>
      </c>
      <c r="AL996" t="s">
        <v>10006</v>
      </c>
      <c r="AM996" t="s">
        <v>160</v>
      </c>
      <c r="AN996" t="s">
        <v>161</v>
      </c>
      <c r="AO996" t="s">
        <v>13093</v>
      </c>
      <c r="AP996" t="s">
        <v>74</v>
      </c>
      <c r="AQ996" t="s">
        <v>74</v>
      </c>
      <c r="AR996" t="s">
        <v>13094</v>
      </c>
      <c r="AS996" t="s">
        <v>13095</v>
      </c>
      <c r="AT996" t="s">
        <v>13096</v>
      </c>
      <c r="AU996">
        <v>2000</v>
      </c>
      <c r="AV996">
        <v>173</v>
      </c>
      <c r="AW996" t="s">
        <v>3269</v>
      </c>
      <c r="AX996" t="s">
        <v>74</v>
      </c>
      <c r="AY996" t="s">
        <v>74</v>
      </c>
      <c r="AZ996" t="s">
        <v>74</v>
      </c>
      <c r="BA996" t="s">
        <v>74</v>
      </c>
      <c r="BB996">
        <v>449</v>
      </c>
      <c r="BC996">
        <v>449</v>
      </c>
      <c r="BD996" t="s">
        <v>74</v>
      </c>
      <c r="BE996" t="s">
        <v>13106</v>
      </c>
      <c r="BF996" t="str">
        <f>HYPERLINK("http://dx.doi.org/10.1007/s002030000168","http://dx.doi.org/10.1007/s002030000168")</f>
        <v>http://dx.doi.org/10.1007/s002030000168</v>
      </c>
      <c r="BG996" t="s">
        <v>74</v>
      </c>
      <c r="BH996" t="s">
        <v>74</v>
      </c>
      <c r="BI996">
        <v>1</v>
      </c>
      <c r="BJ996" t="s">
        <v>725</v>
      </c>
      <c r="BK996" t="s">
        <v>94</v>
      </c>
      <c r="BL996" t="s">
        <v>725</v>
      </c>
      <c r="BM996" t="s">
        <v>13098</v>
      </c>
      <c r="BN996" t="s">
        <v>74</v>
      </c>
      <c r="BO996" t="s">
        <v>1755</v>
      </c>
      <c r="BP996" t="s">
        <v>74</v>
      </c>
      <c r="BQ996" t="s">
        <v>74</v>
      </c>
      <c r="BR996" t="s">
        <v>97</v>
      </c>
      <c r="BS996" t="s">
        <v>13107</v>
      </c>
      <c r="BT996" t="str">
        <f>HYPERLINK("https%3A%2F%2Fwww.webofscience.com%2Fwos%2Fwoscc%2Ffull-record%2FWOS:000087874200019","View Full Record in Web of Science")</f>
        <v>View Full Record in Web of Science</v>
      </c>
    </row>
    <row r="997" spans="1:72" x14ac:dyDescent="0.15">
      <c r="A997" t="s">
        <v>72</v>
      </c>
      <c r="B997" t="s">
        <v>13108</v>
      </c>
      <c r="C997" t="s">
        <v>74</v>
      </c>
      <c r="D997" t="s">
        <v>74</v>
      </c>
      <c r="E997" t="s">
        <v>74</v>
      </c>
      <c r="F997" t="s">
        <v>13108</v>
      </c>
      <c r="G997" t="s">
        <v>74</v>
      </c>
      <c r="H997" t="s">
        <v>74</v>
      </c>
      <c r="I997" t="s">
        <v>13109</v>
      </c>
      <c r="J997" t="s">
        <v>6415</v>
      </c>
      <c r="K997" t="s">
        <v>74</v>
      </c>
      <c r="L997" t="s">
        <v>74</v>
      </c>
      <c r="M997" t="s">
        <v>77</v>
      </c>
      <c r="N997" t="s">
        <v>78</v>
      </c>
      <c r="O997" t="s">
        <v>74</v>
      </c>
      <c r="P997" t="s">
        <v>74</v>
      </c>
      <c r="Q997" t="s">
        <v>74</v>
      </c>
      <c r="R997" t="s">
        <v>74</v>
      </c>
      <c r="S997" t="s">
        <v>74</v>
      </c>
      <c r="T997" t="s">
        <v>74</v>
      </c>
      <c r="U997" t="s">
        <v>13110</v>
      </c>
      <c r="V997" t="s">
        <v>13111</v>
      </c>
      <c r="W997" t="s">
        <v>10973</v>
      </c>
      <c r="X997" t="s">
        <v>1365</v>
      </c>
      <c r="Y997" t="s">
        <v>12874</v>
      </c>
      <c r="Z997" t="s">
        <v>13112</v>
      </c>
      <c r="AA997" t="s">
        <v>13113</v>
      </c>
      <c r="AB997" t="s">
        <v>13114</v>
      </c>
      <c r="AC997" t="s">
        <v>74</v>
      </c>
      <c r="AD997" t="s">
        <v>74</v>
      </c>
      <c r="AE997" t="s">
        <v>74</v>
      </c>
      <c r="AF997" t="s">
        <v>74</v>
      </c>
      <c r="AG997">
        <v>44</v>
      </c>
      <c r="AH997">
        <v>149</v>
      </c>
      <c r="AI997">
        <v>180</v>
      </c>
      <c r="AJ997">
        <v>1</v>
      </c>
      <c r="AK997">
        <v>15</v>
      </c>
      <c r="AL997" t="s">
        <v>1039</v>
      </c>
      <c r="AM997" t="s">
        <v>1040</v>
      </c>
      <c r="AN997" t="s">
        <v>1041</v>
      </c>
      <c r="AO997" t="s">
        <v>6421</v>
      </c>
      <c r="AP997" t="s">
        <v>6449</v>
      </c>
      <c r="AQ997" t="s">
        <v>74</v>
      </c>
      <c r="AR997" t="s">
        <v>6422</v>
      </c>
      <c r="AS997" t="s">
        <v>6423</v>
      </c>
      <c r="AT997" t="s">
        <v>12990</v>
      </c>
      <c r="AU997">
        <v>2000</v>
      </c>
      <c r="AV997">
        <v>32</v>
      </c>
      <c r="AW997">
        <v>2</v>
      </c>
      <c r="AX997" t="s">
        <v>74</v>
      </c>
      <c r="AY997" t="s">
        <v>74</v>
      </c>
      <c r="AZ997" t="s">
        <v>74</v>
      </c>
      <c r="BA997" t="s">
        <v>74</v>
      </c>
      <c r="BB997">
        <v>111</v>
      </c>
      <c r="BC997">
        <v>116</v>
      </c>
      <c r="BD997" t="s">
        <v>74</v>
      </c>
      <c r="BE997" t="s">
        <v>13115</v>
      </c>
      <c r="BF997" t="str">
        <f>HYPERLINK("http://dx.doi.org/10.2307/1552442","http://dx.doi.org/10.2307/1552442")</f>
        <v>http://dx.doi.org/10.2307/1552442</v>
      </c>
      <c r="BG997" t="s">
        <v>74</v>
      </c>
      <c r="BH997" t="s">
        <v>74</v>
      </c>
      <c r="BI997">
        <v>6</v>
      </c>
      <c r="BJ997" t="s">
        <v>6425</v>
      </c>
      <c r="BK997" t="s">
        <v>94</v>
      </c>
      <c r="BL997" t="s">
        <v>1942</v>
      </c>
      <c r="BM997" t="s">
        <v>13116</v>
      </c>
      <c r="BN997" t="s">
        <v>74</v>
      </c>
      <c r="BO997" t="s">
        <v>74</v>
      </c>
      <c r="BP997" t="s">
        <v>74</v>
      </c>
      <c r="BQ997" t="s">
        <v>74</v>
      </c>
      <c r="BR997" t="s">
        <v>97</v>
      </c>
      <c r="BS997" t="s">
        <v>13117</v>
      </c>
      <c r="BT997" t="str">
        <f>HYPERLINK("https%3A%2F%2Fwww.webofscience.com%2Fwos%2Fwoscc%2Ffull-record%2FWOS:000087502000001","View Full Record in Web of Science")</f>
        <v>View Full Record in Web of Science</v>
      </c>
    </row>
    <row r="998" spans="1:72" x14ac:dyDescent="0.15">
      <c r="A998" t="s">
        <v>72</v>
      </c>
      <c r="B998" t="s">
        <v>13118</v>
      </c>
      <c r="C998" t="s">
        <v>74</v>
      </c>
      <c r="D998" t="s">
        <v>74</v>
      </c>
      <c r="E998" t="s">
        <v>74</v>
      </c>
      <c r="F998" t="s">
        <v>13118</v>
      </c>
      <c r="G998" t="s">
        <v>74</v>
      </c>
      <c r="H998" t="s">
        <v>74</v>
      </c>
      <c r="I998" t="s">
        <v>13119</v>
      </c>
      <c r="J998" t="s">
        <v>6415</v>
      </c>
      <c r="K998" t="s">
        <v>74</v>
      </c>
      <c r="L998" t="s">
        <v>74</v>
      </c>
      <c r="M998" t="s">
        <v>77</v>
      </c>
      <c r="N998" t="s">
        <v>78</v>
      </c>
      <c r="O998" t="s">
        <v>74</v>
      </c>
      <c r="P998" t="s">
        <v>74</v>
      </c>
      <c r="Q998" t="s">
        <v>74</v>
      </c>
      <c r="R998" t="s">
        <v>74</v>
      </c>
      <c r="S998" t="s">
        <v>74</v>
      </c>
      <c r="T998" t="s">
        <v>74</v>
      </c>
      <c r="U998" t="s">
        <v>13120</v>
      </c>
      <c r="V998" t="s">
        <v>13121</v>
      </c>
      <c r="W998" t="s">
        <v>13122</v>
      </c>
      <c r="X998" t="s">
        <v>13123</v>
      </c>
      <c r="Y998" t="s">
        <v>13124</v>
      </c>
      <c r="Z998" t="s">
        <v>74</v>
      </c>
      <c r="AA998" t="s">
        <v>13125</v>
      </c>
      <c r="AB998" t="s">
        <v>13126</v>
      </c>
      <c r="AC998" t="s">
        <v>74</v>
      </c>
      <c r="AD998" t="s">
        <v>74</v>
      </c>
      <c r="AE998" t="s">
        <v>74</v>
      </c>
      <c r="AF998" t="s">
        <v>74</v>
      </c>
      <c r="AG998">
        <v>52</v>
      </c>
      <c r="AH998">
        <v>16</v>
      </c>
      <c r="AI998">
        <v>17</v>
      </c>
      <c r="AJ998">
        <v>1</v>
      </c>
      <c r="AK998">
        <v>26</v>
      </c>
      <c r="AL998" t="s">
        <v>6419</v>
      </c>
      <c r="AM998" t="s">
        <v>982</v>
      </c>
      <c r="AN998" t="s">
        <v>6420</v>
      </c>
      <c r="AO998" t="s">
        <v>6421</v>
      </c>
      <c r="AP998" t="s">
        <v>74</v>
      </c>
      <c r="AQ998" t="s">
        <v>74</v>
      </c>
      <c r="AR998" t="s">
        <v>6422</v>
      </c>
      <c r="AS998" t="s">
        <v>6423</v>
      </c>
      <c r="AT998" t="s">
        <v>12990</v>
      </c>
      <c r="AU998">
        <v>2000</v>
      </c>
      <c r="AV998">
        <v>32</v>
      </c>
      <c r="AW998">
        <v>2</v>
      </c>
      <c r="AX998" t="s">
        <v>74</v>
      </c>
      <c r="AY998" t="s">
        <v>74</v>
      </c>
      <c r="AZ998" t="s">
        <v>74</v>
      </c>
      <c r="BA998" t="s">
        <v>74</v>
      </c>
      <c r="BB998">
        <v>117</v>
      </c>
      <c r="BC998">
        <v>126</v>
      </c>
      <c r="BD998" t="s">
        <v>74</v>
      </c>
      <c r="BE998" t="s">
        <v>13127</v>
      </c>
      <c r="BF998" t="str">
        <f>HYPERLINK("http://dx.doi.org/10.2307/1552443","http://dx.doi.org/10.2307/1552443")</f>
        <v>http://dx.doi.org/10.2307/1552443</v>
      </c>
      <c r="BG998" t="s">
        <v>74</v>
      </c>
      <c r="BH998" t="s">
        <v>74</v>
      </c>
      <c r="BI998">
        <v>10</v>
      </c>
      <c r="BJ998" t="s">
        <v>6425</v>
      </c>
      <c r="BK998" t="s">
        <v>94</v>
      </c>
      <c r="BL998" t="s">
        <v>1942</v>
      </c>
      <c r="BM998" t="s">
        <v>13116</v>
      </c>
      <c r="BN998" t="s">
        <v>74</v>
      </c>
      <c r="BO998" t="s">
        <v>1755</v>
      </c>
      <c r="BP998" t="s">
        <v>74</v>
      </c>
      <c r="BQ998" t="s">
        <v>74</v>
      </c>
      <c r="BR998" t="s">
        <v>97</v>
      </c>
      <c r="BS998" t="s">
        <v>13128</v>
      </c>
      <c r="BT998" t="str">
        <f>HYPERLINK("https%3A%2F%2Fwww.webofscience.com%2Fwos%2Fwoscc%2Ffull-record%2FWOS:000087502000002","View Full Record in Web of Science")</f>
        <v>View Full Record in Web of Science</v>
      </c>
    </row>
    <row r="999" spans="1:72" x14ac:dyDescent="0.15">
      <c r="A999" t="s">
        <v>72</v>
      </c>
      <c r="B999" t="s">
        <v>13129</v>
      </c>
      <c r="C999" t="s">
        <v>74</v>
      </c>
      <c r="D999" t="s">
        <v>74</v>
      </c>
      <c r="E999" t="s">
        <v>74</v>
      </c>
      <c r="F999" t="s">
        <v>13129</v>
      </c>
      <c r="G999" t="s">
        <v>74</v>
      </c>
      <c r="H999" t="s">
        <v>74</v>
      </c>
      <c r="I999" t="s">
        <v>13130</v>
      </c>
      <c r="J999" t="s">
        <v>6415</v>
      </c>
      <c r="K999" t="s">
        <v>74</v>
      </c>
      <c r="L999" t="s">
        <v>74</v>
      </c>
      <c r="M999" t="s">
        <v>77</v>
      </c>
      <c r="N999" t="s">
        <v>78</v>
      </c>
      <c r="O999" t="s">
        <v>74</v>
      </c>
      <c r="P999" t="s">
        <v>74</v>
      </c>
      <c r="Q999" t="s">
        <v>74</v>
      </c>
      <c r="R999" t="s">
        <v>74</v>
      </c>
      <c r="S999" t="s">
        <v>74</v>
      </c>
      <c r="T999" t="s">
        <v>74</v>
      </c>
      <c r="U999" t="s">
        <v>13131</v>
      </c>
      <c r="V999" t="s">
        <v>13132</v>
      </c>
      <c r="W999" t="s">
        <v>13133</v>
      </c>
      <c r="X999" t="s">
        <v>13134</v>
      </c>
      <c r="Y999" t="s">
        <v>13135</v>
      </c>
      <c r="Z999" t="s">
        <v>74</v>
      </c>
      <c r="AA999" t="s">
        <v>74</v>
      </c>
      <c r="AB999" t="s">
        <v>74</v>
      </c>
      <c r="AC999" t="s">
        <v>74</v>
      </c>
      <c r="AD999" t="s">
        <v>74</v>
      </c>
      <c r="AE999" t="s">
        <v>74</v>
      </c>
      <c r="AF999" t="s">
        <v>74</v>
      </c>
      <c r="AG999">
        <v>53</v>
      </c>
      <c r="AH999">
        <v>10</v>
      </c>
      <c r="AI999">
        <v>15</v>
      </c>
      <c r="AJ999">
        <v>0</v>
      </c>
      <c r="AK999">
        <v>13</v>
      </c>
      <c r="AL999" t="s">
        <v>6419</v>
      </c>
      <c r="AM999" t="s">
        <v>982</v>
      </c>
      <c r="AN999" t="s">
        <v>6420</v>
      </c>
      <c r="AO999" t="s">
        <v>6421</v>
      </c>
      <c r="AP999" t="s">
        <v>74</v>
      </c>
      <c r="AQ999" t="s">
        <v>74</v>
      </c>
      <c r="AR999" t="s">
        <v>6422</v>
      </c>
      <c r="AS999" t="s">
        <v>6423</v>
      </c>
      <c r="AT999" t="s">
        <v>12990</v>
      </c>
      <c r="AU999">
        <v>2000</v>
      </c>
      <c r="AV999">
        <v>32</v>
      </c>
      <c r="AW999">
        <v>2</v>
      </c>
      <c r="AX999" t="s">
        <v>74</v>
      </c>
      <c r="AY999" t="s">
        <v>74</v>
      </c>
      <c r="AZ999" t="s">
        <v>74</v>
      </c>
      <c r="BA999" t="s">
        <v>74</v>
      </c>
      <c r="BB999">
        <v>127</v>
      </c>
      <c r="BC999">
        <v>134</v>
      </c>
      <c r="BD999" t="s">
        <v>74</v>
      </c>
      <c r="BE999" t="s">
        <v>13136</v>
      </c>
      <c r="BF999" t="str">
        <f>HYPERLINK("http://dx.doi.org/10.2307/1552444","http://dx.doi.org/10.2307/1552444")</f>
        <v>http://dx.doi.org/10.2307/1552444</v>
      </c>
      <c r="BG999" t="s">
        <v>74</v>
      </c>
      <c r="BH999" t="s">
        <v>74</v>
      </c>
      <c r="BI999">
        <v>8</v>
      </c>
      <c r="BJ999" t="s">
        <v>6425</v>
      </c>
      <c r="BK999" t="s">
        <v>94</v>
      </c>
      <c r="BL999" t="s">
        <v>1942</v>
      </c>
      <c r="BM999" t="s">
        <v>13116</v>
      </c>
      <c r="BN999" t="s">
        <v>74</v>
      </c>
      <c r="BO999" t="s">
        <v>74</v>
      </c>
      <c r="BP999" t="s">
        <v>74</v>
      </c>
      <c r="BQ999" t="s">
        <v>74</v>
      </c>
      <c r="BR999" t="s">
        <v>97</v>
      </c>
      <c r="BS999" t="s">
        <v>13137</v>
      </c>
      <c r="BT999" t="str">
        <f>HYPERLINK("https%3A%2F%2Fwww.webofscience.com%2Fwos%2Fwoscc%2Ffull-record%2FWOS:000087502000003","View Full Record in Web of Science")</f>
        <v>View Full Record in Web of Science</v>
      </c>
    </row>
    <row r="1000" spans="1:72" x14ac:dyDescent="0.15">
      <c r="A1000" t="s">
        <v>72</v>
      </c>
      <c r="B1000" t="s">
        <v>13138</v>
      </c>
      <c r="C1000" t="s">
        <v>74</v>
      </c>
      <c r="D1000" t="s">
        <v>74</v>
      </c>
      <c r="E1000" t="s">
        <v>74</v>
      </c>
      <c r="F1000" t="s">
        <v>13138</v>
      </c>
      <c r="G1000" t="s">
        <v>74</v>
      </c>
      <c r="H1000" t="s">
        <v>74</v>
      </c>
      <c r="I1000" t="s">
        <v>13139</v>
      </c>
      <c r="J1000" t="s">
        <v>6415</v>
      </c>
      <c r="K1000" t="s">
        <v>74</v>
      </c>
      <c r="L1000" t="s">
        <v>74</v>
      </c>
      <c r="M1000" t="s">
        <v>77</v>
      </c>
      <c r="N1000" t="s">
        <v>78</v>
      </c>
      <c r="O1000" t="s">
        <v>74</v>
      </c>
      <c r="P1000" t="s">
        <v>74</v>
      </c>
      <c r="Q1000" t="s">
        <v>74</v>
      </c>
      <c r="R1000" t="s">
        <v>74</v>
      </c>
      <c r="S1000" t="s">
        <v>74</v>
      </c>
      <c r="T1000" t="s">
        <v>74</v>
      </c>
      <c r="U1000" t="s">
        <v>13140</v>
      </c>
      <c r="V1000" t="s">
        <v>13141</v>
      </c>
      <c r="W1000" t="s">
        <v>13142</v>
      </c>
      <c r="X1000" t="s">
        <v>13143</v>
      </c>
      <c r="Y1000" t="s">
        <v>13144</v>
      </c>
      <c r="Z1000" t="s">
        <v>13145</v>
      </c>
      <c r="AA1000" t="s">
        <v>74</v>
      </c>
      <c r="AB1000" t="s">
        <v>13146</v>
      </c>
      <c r="AC1000" t="s">
        <v>74</v>
      </c>
      <c r="AD1000" t="s">
        <v>74</v>
      </c>
      <c r="AE1000" t="s">
        <v>74</v>
      </c>
      <c r="AF1000" t="s">
        <v>74</v>
      </c>
      <c r="AG1000">
        <v>41</v>
      </c>
      <c r="AH1000">
        <v>38</v>
      </c>
      <c r="AI1000">
        <v>45</v>
      </c>
      <c r="AJ1000">
        <v>0</v>
      </c>
      <c r="AK1000">
        <v>9</v>
      </c>
      <c r="AL1000" t="s">
        <v>1039</v>
      </c>
      <c r="AM1000" t="s">
        <v>1040</v>
      </c>
      <c r="AN1000" t="s">
        <v>1041</v>
      </c>
      <c r="AO1000" t="s">
        <v>6421</v>
      </c>
      <c r="AP1000" t="s">
        <v>6449</v>
      </c>
      <c r="AQ1000" t="s">
        <v>74</v>
      </c>
      <c r="AR1000" t="s">
        <v>6422</v>
      </c>
      <c r="AS1000" t="s">
        <v>6423</v>
      </c>
      <c r="AT1000" t="s">
        <v>12990</v>
      </c>
      <c r="AU1000">
        <v>2000</v>
      </c>
      <c r="AV1000">
        <v>32</v>
      </c>
      <c r="AW1000">
        <v>2</v>
      </c>
      <c r="AX1000" t="s">
        <v>74</v>
      </c>
      <c r="AY1000" t="s">
        <v>74</v>
      </c>
      <c r="AZ1000" t="s">
        <v>74</v>
      </c>
      <c r="BA1000" t="s">
        <v>74</v>
      </c>
      <c r="BB1000">
        <v>135</v>
      </c>
      <c r="BC1000">
        <v>146</v>
      </c>
      <c r="BD1000" t="s">
        <v>74</v>
      </c>
      <c r="BE1000" t="s">
        <v>13147</v>
      </c>
      <c r="BF1000" t="str">
        <f>HYPERLINK("http://dx.doi.org/10.2307/1552445","http://dx.doi.org/10.2307/1552445")</f>
        <v>http://dx.doi.org/10.2307/1552445</v>
      </c>
      <c r="BG1000" t="s">
        <v>74</v>
      </c>
      <c r="BH1000" t="s">
        <v>74</v>
      </c>
      <c r="BI1000">
        <v>12</v>
      </c>
      <c r="BJ1000" t="s">
        <v>6425</v>
      </c>
      <c r="BK1000" t="s">
        <v>94</v>
      </c>
      <c r="BL1000" t="s">
        <v>1942</v>
      </c>
      <c r="BM1000" t="s">
        <v>13116</v>
      </c>
      <c r="BN1000" t="s">
        <v>74</v>
      </c>
      <c r="BO1000" t="s">
        <v>1755</v>
      </c>
      <c r="BP1000" t="s">
        <v>74</v>
      </c>
      <c r="BQ1000" t="s">
        <v>74</v>
      </c>
      <c r="BR1000" t="s">
        <v>97</v>
      </c>
      <c r="BS1000" t="s">
        <v>13148</v>
      </c>
      <c r="BT1000" t="str">
        <f>HYPERLINK("https%3A%2F%2Fwww.webofscience.com%2Fwos%2Fwoscc%2Ffull-record%2FWOS:000087502000004","View Full Record in Web of Science")</f>
        <v>View Full Record in Web of Science</v>
      </c>
    </row>
    <row r="1001" spans="1:72" x14ac:dyDescent="0.15">
      <c r="A1001" t="s">
        <v>72</v>
      </c>
      <c r="B1001" t="s">
        <v>13149</v>
      </c>
      <c r="C1001" t="s">
        <v>74</v>
      </c>
      <c r="D1001" t="s">
        <v>74</v>
      </c>
      <c r="E1001" t="s">
        <v>74</v>
      </c>
      <c r="F1001" t="s">
        <v>13149</v>
      </c>
      <c r="G1001" t="s">
        <v>74</v>
      </c>
      <c r="H1001" t="s">
        <v>74</v>
      </c>
      <c r="I1001" t="s">
        <v>13150</v>
      </c>
      <c r="J1001" t="s">
        <v>6415</v>
      </c>
      <c r="K1001" t="s">
        <v>74</v>
      </c>
      <c r="L1001" t="s">
        <v>74</v>
      </c>
      <c r="M1001" t="s">
        <v>77</v>
      </c>
      <c r="N1001" t="s">
        <v>78</v>
      </c>
      <c r="O1001" t="s">
        <v>74</v>
      </c>
      <c r="P1001" t="s">
        <v>74</v>
      </c>
      <c r="Q1001" t="s">
        <v>74</v>
      </c>
      <c r="R1001" t="s">
        <v>74</v>
      </c>
      <c r="S1001" t="s">
        <v>74</v>
      </c>
      <c r="T1001" t="s">
        <v>74</v>
      </c>
      <c r="U1001" t="s">
        <v>13151</v>
      </c>
      <c r="V1001" t="s">
        <v>13152</v>
      </c>
      <c r="W1001" t="s">
        <v>13153</v>
      </c>
      <c r="X1001" t="s">
        <v>13154</v>
      </c>
      <c r="Y1001" t="s">
        <v>13155</v>
      </c>
      <c r="Z1001" t="s">
        <v>13156</v>
      </c>
      <c r="AA1001" t="s">
        <v>13157</v>
      </c>
      <c r="AB1001" t="s">
        <v>13158</v>
      </c>
      <c r="AC1001" t="s">
        <v>74</v>
      </c>
      <c r="AD1001" t="s">
        <v>74</v>
      </c>
      <c r="AE1001" t="s">
        <v>74</v>
      </c>
      <c r="AF1001" t="s">
        <v>74</v>
      </c>
      <c r="AG1001">
        <v>41</v>
      </c>
      <c r="AH1001">
        <v>8</v>
      </c>
      <c r="AI1001">
        <v>11</v>
      </c>
      <c r="AJ1001">
        <v>0</v>
      </c>
      <c r="AK1001">
        <v>24</v>
      </c>
      <c r="AL1001" t="s">
        <v>1039</v>
      </c>
      <c r="AM1001" t="s">
        <v>1040</v>
      </c>
      <c r="AN1001" t="s">
        <v>1041</v>
      </c>
      <c r="AO1001" t="s">
        <v>6421</v>
      </c>
      <c r="AP1001" t="s">
        <v>6449</v>
      </c>
      <c r="AQ1001" t="s">
        <v>74</v>
      </c>
      <c r="AR1001" t="s">
        <v>6422</v>
      </c>
      <c r="AS1001" t="s">
        <v>6423</v>
      </c>
      <c r="AT1001" t="s">
        <v>12990</v>
      </c>
      <c r="AU1001">
        <v>2000</v>
      </c>
      <c r="AV1001">
        <v>32</v>
      </c>
      <c r="AW1001">
        <v>2</v>
      </c>
      <c r="AX1001" t="s">
        <v>74</v>
      </c>
      <c r="AY1001" t="s">
        <v>74</v>
      </c>
      <c r="AZ1001" t="s">
        <v>74</v>
      </c>
      <c r="BA1001" t="s">
        <v>74</v>
      </c>
      <c r="BB1001">
        <v>147</v>
      </c>
      <c r="BC1001">
        <v>154</v>
      </c>
      <c r="BD1001" t="s">
        <v>74</v>
      </c>
      <c r="BE1001" t="s">
        <v>13159</v>
      </c>
      <c r="BF1001" t="str">
        <f>HYPERLINK("http://dx.doi.org/10.2307/1552446","http://dx.doi.org/10.2307/1552446")</f>
        <v>http://dx.doi.org/10.2307/1552446</v>
      </c>
      <c r="BG1001" t="s">
        <v>74</v>
      </c>
      <c r="BH1001" t="s">
        <v>74</v>
      </c>
      <c r="BI1001">
        <v>8</v>
      </c>
      <c r="BJ1001" t="s">
        <v>6425</v>
      </c>
      <c r="BK1001" t="s">
        <v>94</v>
      </c>
      <c r="BL1001" t="s">
        <v>1942</v>
      </c>
      <c r="BM1001" t="s">
        <v>13116</v>
      </c>
      <c r="BN1001" t="s">
        <v>74</v>
      </c>
      <c r="BO1001" t="s">
        <v>74</v>
      </c>
      <c r="BP1001" t="s">
        <v>74</v>
      </c>
      <c r="BQ1001" t="s">
        <v>74</v>
      </c>
      <c r="BR1001" t="s">
        <v>97</v>
      </c>
      <c r="BS1001" t="s">
        <v>13160</v>
      </c>
      <c r="BT1001" t="str">
        <f>HYPERLINK("https%3A%2F%2Fwww.webofscience.com%2Fwos%2Fwoscc%2Ffull-record%2FWOS:000087502000005","View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2024-07-28T15:26:36Z</dcterms:created>
  <dcterms:modified xsi:type="dcterms:W3CDTF">2024-07-28T15:26:36Z</dcterms:modified>
</cp:coreProperties>
</file>